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niva-of5\osl-userdata$\MOR\System\Desktop\"/>
    </mc:Choice>
  </mc:AlternateContent>
  <xr:revisionPtr revIDLastSave="0" documentId="8_{40E5332A-17AE-4E04-8AB9-9AC23CCE8CB9}" xr6:coauthVersionLast="43" xr6:coauthVersionMax="43" xr10:uidLastSave="{00000000-0000-0000-0000-000000000000}"/>
  <bookViews>
    <workbookView xWindow="-120" yWindow="-120" windowWidth="29040" windowHeight="17640" tabRatio="863" xr2:uid="{00000000-000D-0000-FFFF-FFFF00000000}"/>
  </bookViews>
  <sheets>
    <sheet name="Sample Information" sheetId="8" r:id="rId1"/>
    <sheet name="NormaNEWS compounds" sheetId="12" r:id="rId2"/>
    <sheet name="Max. Absolute Intensity_counts" sheetId="3" r:id="rId3"/>
    <sheet name="QC_mass accuracy_Da" sheetId="7" r:id="rId4"/>
    <sheet name="QC_mass accuracy_ppm" sheetId="5" r:id="rId5"/>
    <sheet name="QC_observed_ret.time_Minutes" sheetId="6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1" i="6" l="1"/>
  <c r="F130" i="6"/>
  <c r="F129" i="6"/>
  <c r="F128" i="6"/>
  <c r="F127" i="6"/>
  <c r="F126" i="6"/>
  <c r="F122" i="6"/>
  <c r="F119" i="6"/>
  <c r="F113" i="6"/>
  <c r="F94" i="6"/>
  <c r="F92" i="6"/>
  <c r="F91" i="6"/>
  <c r="F90" i="6"/>
  <c r="F89" i="6"/>
  <c r="F87" i="6"/>
  <c r="F86" i="6"/>
  <c r="F82" i="6"/>
  <c r="F79" i="6"/>
  <c r="F77" i="6"/>
  <c r="F71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7" i="6"/>
  <c r="E5" i="3"/>
  <c r="E6" i="3"/>
  <c r="E7" i="3"/>
  <c r="E8" i="3"/>
  <c r="E9" i="3"/>
  <c r="E10" i="3"/>
  <c r="E11" i="3"/>
  <c r="E12" i="3"/>
  <c r="E13" i="3"/>
  <c r="E14" i="3"/>
  <c r="E15" i="3"/>
  <c r="AT16" i="3"/>
  <c r="E16" i="3"/>
  <c r="E17" i="3"/>
  <c r="E18" i="3"/>
  <c r="E19" i="3"/>
  <c r="E20" i="3"/>
  <c r="E21" i="3"/>
  <c r="AS22" i="3"/>
  <c r="E22" i="3" s="1"/>
  <c r="E23" i="3"/>
  <c r="AT24" i="3"/>
  <c r="E24" i="3"/>
  <c r="E25" i="3"/>
  <c r="AU26" i="3"/>
  <c r="E26" i="3"/>
  <c r="E27" i="3"/>
  <c r="E28" i="3"/>
  <c r="E29" i="3"/>
  <c r="E30" i="3"/>
  <c r="E31" i="3"/>
  <c r="E32" i="3"/>
  <c r="E33" i="3"/>
  <c r="AV34" i="3"/>
  <c r="E34" i="3"/>
  <c r="E35" i="3"/>
  <c r="E36" i="3"/>
  <c r="E37" i="3"/>
  <c r="E38" i="3"/>
  <c r="E39" i="3"/>
  <c r="E40" i="3"/>
  <c r="E41" i="3"/>
  <c r="E42" i="3"/>
  <c r="E43" i="3"/>
  <c r="N44" i="3"/>
  <c r="AC44" i="3"/>
  <c r="E44" i="3"/>
  <c r="E45" i="3"/>
  <c r="E46" i="3"/>
  <c r="E47" i="3"/>
  <c r="E48" i="3"/>
  <c r="E49" i="3"/>
  <c r="E50" i="3"/>
  <c r="E51" i="3"/>
  <c r="E52" i="3"/>
  <c r="E53" i="3"/>
  <c r="E54" i="3"/>
  <c r="E55" i="3"/>
  <c r="M56" i="3"/>
  <c r="E56" i="3" s="1"/>
  <c r="E57" i="3"/>
  <c r="E58" i="3"/>
  <c r="E59" i="3"/>
  <c r="E60" i="3"/>
  <c r="E61" i="3"/>
  <c r="E62" i="3"/>
  <c r="E63" i="3"/>
  <c r="E64" i="3"/>
  <c r="M65" i="3"/>
  <c r="P65" i="3"/>
  <c r="E65" i="3"/>
  <c r="E66" i="3"/>
  <c r="E67" i="3"/>
  <c r="E68" i="3"/>
  <c r="E69" i="3"/>
  <c r="E70" i="3"/>
  <c r="E71" i="3"/>
  <c r="E72" i="3"/>
  <c r="E73" i="3"/>
  <c r="E74" i="3"/>
  <c r="E75" i="3"/>
  <c r="E76" i="3"/>
  <c r="AE77" i="3"/>
  <c r="E77" i="3" s="1"/>
  <c r="AF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N121" i="3"/>
  <c r="E121" i="3"/>
  <c r="E122" i="3"/>
  <c r="E123" i="3"/>
  <c r="E124" i="3"/>
  <c r="E125" i="3"/>
  <c r="E126" i="3"/>
  <c r="E127" i="3"/>
  <c r="E128" i="3"/>
  <c r="E129" i="3"/>
  <c r="AC130" i="3"/>
  <c r="E130" i="3" s="1"/>
  <c r="Q131" i="3"/>
  <c r="E131" i="3"/>
  <c r="E132" i="3"/>
  <c r="E133" i="3"/>
  <c r="AA134" i="3"/>
  <c r="E134" i="3"/>
  <c r="E135" i="3"/>
  <c r="E136" i="3"/>
  <c r="E137" i="3"/>
  <c r="E138" i="3"/>
  <c r="E139" i="3"/>
  <c r="E140" i="3"/>
  <c r="AA141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AU4" i="3"/>
  <c r="E4" i="3"/>
  <c r="AL5" i="5"/>
  <c r="M4" i="7"/>
  <c r="N4" i="7"/>
  <c r="O4" i="7"/>
  <c r="P4" i="7"/>
  <c r="Q4" i="7"/>
  <c r="R4" i="7"/>
  <c r="T4" i="7"/>
  <c r="Z4" i="7"/>
  <c r="AC4" i="7"/>
  <c r="AD4" i="7"/>
  <c r="W4" i="7"/>
  <c r="X4" i="7"/>
  <c r="Y4" i="7"/>
  <c r="AE4" i="7"/>
  <c r="AF4" i="7"/>
  <c r="AG4" i="7"/>
  <c r="AH4" i="7"/>
  <c r="AS4" i="7"/>
  <c r="AT4" i="7"/>
  <c r="AU4" i="7"/>
  <c r="AV4" i="7"/>
  <c r="M5" i="7"/>
  <c r="N5" i="7"/>
  <c r="O5" i="7"/>
  <c r="P5" i="7"/>
  <c r="Q5" i="7"/>
  <c r="R5" i="7"/>
  <c r="S5" i="7"/>
  <c r="T5" i="7"/>
  <c r="V5" i="7"/>
  <c r="Z5" i="7"/>
  <c r="AC5" i="7"/>
  <c r="AD5" i="7"/>
  <c r="W5" i="7"/>
  <c r="X5" i="7"/>
  <c r="Y5" i="7"/>
  <c r="AE5" i="7"/>
  <c r="AF5" i="7"/>
  <c r="AG5" i="7"/>
  <c r="AH5" i="7"/>
  <c r="AS5" i="7"/>
  <c r="AT5" i="7"/>
  <c r="AU5" i="7"/>
  <c r="AV5" i="7"/>
  <c r="M6" i="7"/>
  <c r="N6" i="7"/>
  <c r="O6" i="7"/>
  <c r="P6" i="7"/>
  <c r="Q6" i="7"/>
  <c r="R6" i="7"/>
  <c r="S6" i="7"/>
  <c r="T6" i="7"/>
  <c r="V6" i="7"/>
  <c r="Z6" i="7"/>
  <c r="AC6" i="7"/>
  <c r="W6" i="7"/>
  <c r="X6" i="7"/>
  <c r="Y6" i="7"/>
  <c r="AE6" i="7"/>
  <c r="AF6" i="7"/>
  <c r="AG6" i="7"/>
  <c r="AH6" i="7"/>
  <c r="AS6" i="7"/>
  <c r="AT6" i="7"/>
  <c r="AU6" i="7"/>
  <c r="M7" i="7"/>
  <c r="N7" i="7"/>
  <c r="O7" i="7"/>
  <c r="P7" i="7"/>
  <c r="Q7" i="7"/>
  <c r="R7" i="7"/>
  <c r="S7" i="7"/>
  <c r="T7" i="7"/>
  <c r="V7" i="7"/>
  <c r="Z7" i="7"/>
  <c r="AC7" i="7"/>
  <c r="W7" i="7"/>
  <c r="X7" i="7"/>
  <c r="Y7" i="7"/>
  <c r="F7" i="7"/>
  <c r="G7" i="7"/>
  <c r="H7" i="7"/>
  <c r="AE7" i="7"/>
  <c r="AF7" i="7"/>
  <c r="AG7" i="7"/>
  <c r="AH7" i="7"/>
  <c r="AS7" i="7"/>
  <c r="AT7" i="7"/>
  <c r="AU7" i="7"/>
  <c r="AV7" i="7"/>
  <c r="M8" i="7"/>
  <c r="N8" i="7"/>
  <c r="O8" i="7"/>
  <c r="P8" i="7"/>
  <c r="Q8" i="7"/>
  <c r="R8" i="7"/>
  <c r="S8" i="7"/>
  <c r="T8" i="7"/>
  <c r="V8" i="7"/>
  <c r="Z8" i="7"/>
  <c r="AC8" i="7"/>
  <c r="W8" i="7"/>
  <c r="X8" i="7"/>
  <c r="Y8" i="7"/>
  <c r="F8" i="7"/>
  <c r="G8" i="7"/>
  <c r="H8" i="7"/>
  <c r="AE8" i="7"/>
  <c r="AF8" i="7"/>
  <c r="AG8" i="7"/>
  <c r="AH8" i="7"/>
  <c r="AS8" i="7"/>
  <c r="AT8" i="7"/>
  <c r="AU8" i="7"/>
  <c r="AV8" i="7"/>
  <c r="M9" i="7"/>
  <c r="N9" i="7"/>
  <c r="O9" i="7"/>
  <c r="P9" i="7"/>
  <c r="Q9" i="7"/>
  <c r="R9" i="7"/>
  <c r="S9" i="7"/>
  <c r="T9" i="7"/>
  <c r="V9" i="7"/>
  <c r="Z9" i="7"/>
  <c r="AC9" i="7"/>
  <c r="W9" i="7"/>
  <c r="X9" i="7"/>
  <c r="Y9" i="7"/>
  <c r="F9" i="7"/>
  <c r="G9" i="7"/>
  <c r="H9" i="7"/>
  <c r="AE9" i="7"/>
  <c r="AF9" i="7"/>
  <c r="AG9" i="7"/>
  <c r="AH9" i="7"/>
  <c r="AS9" i="7"/>
  <c r="AT9" i="7"/>
  <c r="AU9" i="7"/>
  <c r="AV9" i="7"/>
  <c r="M10" i="7"/>
  <c r="N10" i="7"/>
  <c r="O10" i="7"/>
  <c r="P10" i="7"/>
  <c r="Q10" i="7"/>
  <c r="R10" i="7"/>
  <c r="S10" i="7"/>
  <c r="T10" i="7"/>
  <c r="V10" i="7"/>
  <c r="Z10" i="7"/>
  <c r="AC10" i="7"/>
  <c r="W10" i="7"/>
  <c r="X10" i="7"/>
  <c r="Y10" i="7"/>
  <c r="F10" i="7"/>
  <c r="G10" i="7"/>
  <c r="H10" i="7"/>
  <c r="AE10" i="7"/>
  <c r="AF10" i="7"/>
  <c r="AG10" i="7"/>
  <c r="AH10" i="7"/>
  <c r="AS10" i="7"/>
  <c r="AT10" i="7"/>
  <c r="AU10" i="7"/>
  <c r="AV10" i="7"/>
  <c r="M11" i="7"/>
  <c r="N11" i="7"/>
  <c r="O11" i="7"/>
  <c r="P11" i="7"/>
  <c r="Q11" i="7"/>
  <c r="R11" i="7"/>
  <c r="S11" i="7"/>
  <c r="T11" i="7"/>
  <c r="V11" i="7"/>
  <c r="Z11" i="7"/>
  <c r="AC11" i="7"/>
  <c r="W11" i="7"/>
  <c r="X11" i="7"/>
  <c r="Y11" i="7"/>
  <c r="F11" i="7"/>
  <c r="G11" i="7"/>
  <c r="H11" i="7"/>
  <c r="AE11" i="7"/>
  <c r="AF11" i="7"/>
  <c r="AG11" i="7"/>
  <c r="AH11" i="7"/>
  <c r="AS11" i="7"/>
  <c r="AT11" i="7"/>
  <c r="AU11" i="7"/>
  <c r="AV11" i="7"/>
  <c r="M12" i="7"/>
  <c r="N12" i="7"/>
  <c r="O12" i="7"/>
  <c r="P12" i="7"/>
  <c r="Q12" i="7"/>
  <c r="R12" i="7"/>
  <c r="S12" i="7"/>
  <c r="T12" i="7"/>
  <c r="V12" i="7"/>
  <c r="Z12" i="7"/>
  <c r="AC12" i="7"/>
  <c r="W12" i="7"/>
  <c r="X12" i="7"/>
  <c r="Y12" i="7"/>
  <c r="F12" i="7"/>
  <c r="G12" i="7"/>
  <c r="H12" i="7"/>
  <c r="AE12" i="7"/>
  <c r="AG12" i="7"/>
  <c r="AH12" i="7"/>
  <c r="AS12" i="7"/>
  <c r="AT12" i="7"/>
  <c r="AU12" i="7"/>
  <c r="AV12" i="7"/>
  <c r="M13" i="7"/>
  <c r="N13" i="7"/>
  <c r="O13" i="7"/>
  <c r="P13" i="7"/>
  <c r="Q13" i="7"/>
  <c r="R13" i="7"/>
  <c r="S13" i="7"/>
  <c r="T13" i="7"/>
  <c r="V13" i="7"/>
  <c r="Z13" i="7"/>
  <c r="AC13" i="7"/>
  <c r="W13" i="7"/>
  <c r="X13" i="7"/>
  <c r="F13" i="7"/>
  <c r="G13" i="7"/>
  <c r="H13" i="7"/>
  <c r="AE13" i="7"/>
  <c r="AG13" i="7"/>
  <c r="AH13" i="7"/>
  <c r="AS13" i="7"/>
  <c r="AT13" i="7"/>
  <c r="AU13" i="7"/>
  <c r="AV13" i="7"/>
  <c r="M14" i="7"/>
  <c r="N14" i="7"/>
  <c r="O14" i="7"/>
  <c r="P14" i="7"/>
  <c r="Q14" i="7"/>
  <c r="R14" i="7"/>
  <c r="S14" i="7"/>
  <c r="T14" i="7"/>
  <c r="V14" i="7"/>
  <c r="Z14" i="7"/>
  <c r="AC14" i="7"/>
  <c r="W14" i="7"/>
  <c r="X14" i="7"/>
  <c r="F14" i="7"/>
  <c r="G14" i="7"/>
  <c r="AE14" i="7"/>
  <c r="AG14" i="7"/>
  <c r="AH14" i="7"/>
  <c r="AS14" i="7"/>
  <c r="AT14" i="7"/>
  <c r="AU14" i="7"/>
  <c r="AV14" i="7"/>
  <c r="M15" i="7"/>
  <c r="N15" i="7"/>
  <c r="O15" i="7"/>
  <c r="P15" i="7"/>
  <c r="Q15" i="7"/>
  <c r="R15" i="7"/>
  <c r="S15" i="7"/>
  <c r="T15" i="7"/>
  <c r="V15" i="7"/>
  <c r="Z15" i="7"/>
  <c r="AC15" i="7"/>
  <c r="W15" i="7"/>
  <c r="X15" i="7"/>
  <c r="G15" i="7"/>
  <c r="AE15" i="7"/>
  <c r="AG15" i="7"/>
  <c r="AH15" i="7"/>
  <c r="AT15" i="7"/>
  <c r="AU15" i="7"/>
  <c r="AV15" i="7"/>
  <c r="M16" i="7"/>
  <c r="N16" i="7"/>
  <c r="O16" i="7"/>
  <c r="P16" i="7"/>
  <c r="Q16" i="7"/>
  <c r="R16" i="7"/>
  <c r="T16" i="7"/>
  <c r="V16" i="7"/>
  <c r="Z16" i="7"/>
  <c r="AC16" i="7"/>
  <c r="W16" i="7"/>
  <c r="X16" i="7"/>
  <c r="AE16" i="7"/>
  <c r="AH16" i="7"/>
  <c r="AT16" i="7"/>
  <c r="AU16" i="7"/>
  <c r="AV16" i="7"/>
  <c r="M17" i="7"/>
  <c r="N17" i="7"/>
  <c r="O17" i="7"/>
  <c r="P17" i="7"/>
  <c r="Q17" i="7"/>
  <c r="R17" i="7"/>
  <c r="T17" i="7"/>
  <c r="V17" i="7"/>
  <c r="Z17" i="7"/>
  <c r="AC17" i="7"/>
  <c r="W17" i="7"/>
  <c r="X17" i="7"/>
  <c r="AE17" i="7"/>
  <c r="AH17" i="7"/>
  <c r="AT17" i="7"/>
  <c r="M18" i="7"/>
  <c r="R18" i="7"/>
  <c r="T18" i="7"/>
  <c r="Z18" i="7"/>
  <c r="AC18" i="7"/>
  <c r="W18" i="7"/>
  <c r="X18" i="7"/>
  <c r="AE18" i="7"/>
  <c r="AH18" i="7"/>
  <c r="M19" i="7"/>
  <c r="R19" i="7"/>
  <c r="T19" i="7"/>
  <c r="Z19" i="7"/>
  <c r="AC19" i="7"/>
  <c r="W19" i="7"/>
  <c r="X19" i="7"/>
  <c r="AE19" i="7"/>
  <c r="M20" i="7"/>
  <c r="T20" i="7"/>
  <c r="Z20" i="7"/>
  <c r="W20" i="7"/>
  <c r="X20" i="7"/>
  <c r="AE20" i="7"/>
  <c r="M21" i="7"/>
  <c r="N21" i="7"/>
  <c r="O21" i="7"/>
  <c r="P21" i="7"/>
  <c r="Q21" i="7"/>
  <c r="R21" i="7"/>
  <c r="S21" i="7"/>
  <c r="T21" i="7"/>
  <c r="U21" i="7"/>
  <c r="V21" i="7"/>
  <c r="Z21" i="7"/>
  <c r="AA21" i="7"/>
  <c r="AB21" i="7"/>
  <c r="AC21" i="7"/>
  <c r="W21" i="7"/>
  <c r="X21" i="7"/>
  <c r="AE21" i="7"/>
  <c r="AF21" i="7"/>
  <c r="AG21" i="7"/>
  <c r="AH21" i="7"/>
  <c r="AJ21" i="7"/>
  <c r="M22" i="7"/>
  <c r="N22" i="7"/>
  <c r="O22" i="7"/>
  <c r="P22" i="7"/>
  <c r="Q22" i="7"/>
  <c r="R22" i="7"/>
  <c r="S22" i="7"/>
  <c r="T22" i="7"/>
  <c r="U22" i="7"/>
  <c r="V22" i="7"/>
  <c r="Z22" i="7"/>
  <c r="AA22" i="7"/>
  <c r="AB22" i="7"/>
  <c r="AC22" i="7"/>
  <c r="W22" i="7"/>
  <c r="X22" i="7"/>
  <c r="H22" i="7"/>
  <c r="K22" i="7"/>
  <c r="AE22" i="7"/>
  <c r="AF22" i="7"/>
  <c r="AG22" i="7"/>
  <c r="AH22" i="7"/>
  <c r="AS22" i="7"/>
  <c r="AT22" i="7"/>
  <c r="AU22" i="7"/>
  <c r="AV22" i="7"/>
  <c r="M23" i="7"/>
  <c r="N23" i="7"/>
  <c r="O23" i="7"/>
  <c r="P23" i="7"/>
  <c r="Q23" i="7"/>
  <c r="R23" i="7"/>
  <c r="S23" i="7"/>
  <c r="T23" i="7"/>
  <c r="U23" i="7"/>
  <c r="V23" i="7"/>
  <c r="Z23" i="7"/>
  <c r="AA23" i="7"/>
  <c r="AB23" i="7"/>
  <c r="AC23" i="7"/>
  <c r="W23" i="7"/>
  <c r="X23" i="7"/>
  <c r="H23" i="7"/>
  <c r="K23" i="7"/>
  <c r="AE23" i="7"/>
  <c r="AF23" i="7"/>
  <c r="AG23" i="7"/>
  <c r="AH23" i="7"/>
  <c r="AS23" i="7"/>
  <c r="AT23" i="7"/>
  <c r="AU23" i="7"/>
  <c r="AV23" i="7"/>
  <c r="M24" i="7"/>
  <c r="N24" i="7"/>
  <c r="O24" i="7"/>
  <c r="P24" i="7"/>
  <c r="Q24" i="7"/>
  <c r="R24" i="7"/>
  <c r="S24" i="7"/>
  <c r="T24" i="7"/>
  <c r="U24" i="7"/>
  <c r="V24" i="7"/>
  <c r="Z24" i="7"/>
  <c r="AA24" i="7"/>
  <c r="AB24" i="7"/>
  <c r="AC24" i="7"/>
  <c r="W24" i="7"/>
  <c r="X24" i="7"/>
  <c r="Y24" i="7"/>
  <c r="H24" i="7"/>
  <c r="K24" i="7"/>
  <c r="AE24" i="7"/>
  <c r="AF24" i="7"/>
  <c r="AG24" i="7"/>
  <c r="AH24" i="7"/>
  <c r="AS24" i="7"/>
  <c r="AT24" i="7"/>
  <c r="AU24" i="7"/>
  <c r="AV24" i="7"/>
  <c r="M25" i="7"/>
  <c r="N25" i="7"/>
  <c r="O25" i="7"/>
  <c r="P25" i="7"/>
  <c r="Q25" i="7"/>
  <c r="R25" i="7"/>
  <c r="S25" i="7"/>
  <c r="T25" i="7"/>
  <c r="U25" i="7"/>
  <c r="V25" i="7"/>
  <c r="Z25" i="7"/>
  <c r="AA25" i="7"/>
  <c r="AB25" i="7"/>
  <c r="AC25" i="7"/>
  <c r="AD25" i="7"/>
  <c r="W25" i="7"/>
  <c r="X25" i="7"/>
  <c r="Y25" i="7"/>
  <c r="H25" i="7"/>
  <c r="K25" i="7"/>
  <c r="AE25" i="7"/>
  <c r="AF25" i="7"/>
  <c r="AG25" i="7"/>
  <c r="AH25" i="7"/>
  <c r="AS25" i="7"/>
  <c r="AT25" i="7"/>
  <c r="AU25" i="7"/>
  <c r="AV25" i="7"/>
  <c r="M26" i="7"/>
  <c r="N26" i="7"/>
  <c r="O26" i="7"/>
  <c r="P26" i="7"/>
  <c r="Q26" i="7"/>
  <c r="R26" i="7"/>
  <c r="S26" i="7"/>
  <c r="T26" i="7"/>
  <c r="U26" i="7"/>
  <c r="V26" i="7"/>
  <c r="Z26" i="7"/>
  <c r="AA26" i="7"/>
  <c r="AB26" i="7"/>
  <c r="AC26" i="7"/>
  <c r="AD26" i="7"/>
  <c r="W26" i="7"/>
  <c r="X26" i="7"/>
  <c r="Y26" i="7"/>
  <c r="H26" i="7"/>
  <c r="K26" i="7"/>
  <c r="AE26" i="7"/>
  <c r="AF26" i="7"/>
  <c r="AG26" i="7"/>
  <c r="AH26" i="7"/>
  <c r="AN26" i="7"/>
  <c r="AO26" i="7"/>
  <c r="AR26" i="7"/>
  <c r="AS26" i="7"/>
  <c r="AT26" i="7"/>
  <c r="AU26" i="7"/>
  <c r="AV26" i="7"/>
  <c r="M27" i="7"/>
  <c r="N27" i="7"/>
  <c r="O27" i="7"/>
  <c r="P27" i="7"/>
  <c r="Q27" i="7"/>
  <c r="R27" i="7"/>
  <c r="S27" i="7"/>
  <c r="T27" i="7"/>
  <c r="U27" i="7"/>
  <c r="V27" i="7"/>
  <c r="Z27" i="7"/>
  <c r="AA27" i="7"/>
  <c r="AB27" i="7"/>
  <c r="AC27" i="7"/>
  <c r="AD27" i="7"/>
  <c r="W27" i="7"/>
  <c r="X27" i="7"/>
  <c r="Y27" i="7"/>
  <c r="H27" i="7"/>
  <c r="K27" i="7"/>
  <c r="AE27" i="7"/>
  <c r="AF27" i="7"/>
  <c r="AG27" i="7"/>
  <c r="AH27" i="7"/>
  <c r="AN27" i="7"/>
  <c r="AR27" i="7"/>
  <c r="AS27" i="7"/>
  <c r="AT27" i="7"/>
  <c r="AU27" i="7"/>
  <c r="AV27" i="7"/>
  <c r="M28" i="7"/>
  <c r="N28" i="7"/>
  <c r="O28" i="7"/>
  <c r="P28" i="7"/>
  <c r="Q28" i="7"/>
  <c r="R28" i="7"/>
  <c r="S28" i="7"/>
  <c r="T28" i="7"/>
  <c r="U28" i="7"/>
  <c r="V28" i="7"/>
  <c r="Z28" i="7"/>
  <c r="AA28" i="7"/>
  <c r="AB28" i="7"/>
  <c r="AC28" i="7"/>
  <c r="AD28" i="7"/>
  <c r="W28" i="7"/>
  <c r="X28" i="7"/>
  <c r="Y28" i="7"/>
  <c r="H28" i="7"/>
  <c r="K28" i="7"/>
  <c r="AE28" i="7"/>
  <c r="AF28" i="7"/>
  <c r="AG28" i="7"/>
  <c r="AH28" i="7"/>
  <c r="AN28" i="7"/>
  <c r="AR28" i="7"/>
  <c r="AS28" i="7"/>
  <c r="AT28" i="7"/>
  <c r="AU28" i="7"/>
  <c r="AV28" i="7"/>
  <c r="M29" i="7"/>
  <c r="N29" i="7"/>
  <c r="O29" i="7"/>
  <c r="P29" i="7"/>
  <c r="Q29" i="7"/>
  <c r="R29" i="7"/>
  <c r="S29" i="7"/>
  <c r="T29" i="7"/>
  <c r="U29" i="7"/>
  <c r="V29" i="7"/>
  <c r="Z29" i="7"/>
  <c r="AA29" i="7"/>
  <c r="AB29" i="7"/>
  <c r="AC29" i="7"/>
  <c r="AD29" i="7"/>
  <c r="W29" i="7"/>
  <c r="X29" i="7"/>
  <c r="Y29" i="7"/>
  <c r="F29" i="7"/>
  <c r="G29" i="7"/>
  <c r="H29" i="7"/>
  <c r="K29" i="7"/>
  <c r="AE29" i="7"/>
  <c r="AF29" i="7"/>
  <c r="AG29" i="7"/>
  <c r="AH29" i="7"/>
  <c r="AN29" i="7"/>
  <c r="AS29" i="7"/>
  <c r="AT29" i="7"/>
  <c r="AU29" i="7"/>
  <c r="AV29" i="7"/>
  <c r="M30" i="7"/>
  <c r="N30" i="7"/>
  <c r="O30" i="7"/>
  <c r="P30" i="7"/>
  <c r="Q30" i="7"/>
  <c r="R30" i="7"/>
  <c r="S30" i="7"/>
  <c r="T30" i="7"/>
  <c r="U30" i="7"/>
  <c r="V30" i="7"/>
  <c r="Z30" i="7"/>
  <c r="AA30" i="7"/>
  <c r="AB30" i="7"/>
  <c r="AC30" i="7"/>
  <c r="W30" i="7"/>
  <c r="X30" i="7"/>
  <c r="Y30" i="7"/>
  <c r="F30" i="7"/>
  <c r="G30" i="7"/>
  <c r="H30" i="7"/>
  <c r="K30" i="7"/>
  <c r="AE30" i="7"/>
  <c r="AF30" i="7"/>
  <c r="AG30" i="7"/>
  <c r="AH30" i="7"/>
  <c r="AN30" i="7"/>
  <c r="AO30" i="7"/>
  <c r="AP30" i="7"/>
  <c r="AQ30" i="7"/>
  <c r="AR30" i="7"/>
  <c r="AS30" i="7"/>
  <c r="AT30" i="7"/>
  <c r="AU30" i="7"/>
  <c r="AV30" i="7"/>
  <c r="M31" i="7"/>
  <c r="N31" i="7"/>
  <c r="O31" i="7"/>
  <c r="P31" i="7"/>
  <c r="Q31" i="7"/>
  <c r="R31" i="7"/>
  <c r="S31" i="7"/>
  <c r="T31" i="7"/>
  <c r="U31" i="7"/>
  <c r="V31" i="7"/>
  <c r="Z31" i="7"/>
  <c r="AA31" i="7"/>
  <c r="AB31" i="7"/>
  <c r="AC31" i="7"/>
  <c r="W31" i="7"/>
  <c r="X31" i="7"/>
  <c r="F31" i="7"/>
  <c r="G31" i="7"/>
  <c r="H31" i="7"/>
  <c r="K31" i="7"/>
  <c r="AE31" i="7"/>
  <c r="AF31" i="7"/>
  <c r="AG31" i="7"/>
  <c r="AH31" i="7"/>
  <c r="AN31" i="7"/>
  <c r="AS31" i="7"/>
  <c r="AT31" i="7"/>
  <c r="AU31" i="7"/>
  <c r="AV31" i="7"/>
  <c r="M32" i="7"/>
  <c r="N32" i="7"/>
  <c r="O32" i="7"/>
  <c r="P32" i="7"/>
  <c r="Q32" i="7"/>
  <c r="R32" i="7"/>
  <c r="S32" i="7"/>
  <c r="T32" i="7"/>
  <c r="U32" i="7"/>
  <c r="V32" i="7"/>
  <c r="Z32" i="7"/>
  <c r="AA32" i="7"/>
  <c r="AB32" i="7"/>
  <c r="AC32" i="7"/>
  <c r="W32" i="7"/>
  <c r="X32" i="7"/>
  <c r="F32" i="7"/>
  <c r="G32" i="7"/>
  <c r="H32" i="7"/>
  <c r="AE32" i="7"/>
  <c r="AF32" i="7"/>
  <c r="AG32" i="7"/>
  <c r="AH32" i="7"/>
  <c r="AN32" i="7"/>
  <c r="AS32" i="7"/>
  <c r="AU32" i="7"/>
  <c r="AV32" i="7"/>
  <c r="M33" i="7"/>
  <c r="N33" i="7"/>
  <c r="O33" i="7"/>
  <c r="P33" i="7"/>
  <c r="Q33" i="7"/>
  <c r="R33" i="7"/>
  <c r="S33" i="7"/>
  <c r="T33" i="7"/>
  <c r="U33" i="7"/>
  <c r="V33" i="7"/>
  <c r="Z33" i="7"/>
  <c r="AA33" i="7"/>
  <c r="AC33" i="7"/>
  <c r="W33" i="7"/>
  <c r="X33" i="7"/>
  <c r="F33" i="7"/>
  <c r="G33" i="7"/>
  <c r="H33" i="7"/>
  <c r="AE33" i="7"/>
  <c r="AF33" i="7"/>
  <c r="AG33" i="7"/>
  <c r="AH33" i="7"/>
  <c r="AN33" i="7"/>
  <c r="AS33" i="7"/>
  <c r="AU33" i="7"/>
  <c r="AV33" i="7"/>
  <c r="M34" i="7"/>
  <c r="N34" i="7"/>
  <c r="O34" i="7"/>
  <c r="P34" i="7"/>
  <c r="Q34" i="7"/>
  <c r="R34" i="7"/>
  <c r="S34" i="7"/>
  <c r="T34" i="7"/>
  <c r="U34" i="7"/>
  <c r="V34" i="7"/>
  <c r="Z34" i="7"/>
  <c r="AA34" i="7"/>
  <c r="AC34" i="7"/>
  <c r="W34" i="7"/>
  <c r="X34" i="7"/>
  <c r="F34" i="7"/>
  <c r="G34" i="7"/>
  <c r="H34" i="7"/>
  <c r="AE34" i="7"/>
  <c r="AF34" i="7"/>
  <c r="AG34" i="7"/>
  <c r="AH34" i="7"/>
  <c r="AS34" i="7"/>
  <c r="AV34" i="7"/>
  <c r="O35" i="7"/>
  <c r="S35" i="7"/>
  <c r="T35" i="7"/>
  <c r="U35" i="7"/>
  <c r="M36" i="7"/>
  <c r="N36" i="7"/>
  <c r="O36" i="7"/>
  <c r="P36" i="7"/>
  <c r="Q36" i="7"/>
  <c r="R36" i="7"/>
  <c r="S36" i="7"/>
  <c r="T36" i="7"/>
  <c r="U36" i="7"/>
  <c r="AC36" i="7"/>
  <c r="K36" i="7"/>
  <c r="AE36" i="7"/>
  <c r="M37" i="7"/>
  <c r="O37" i="7"/>
  <c r="P37" i="7"/>
  <c r="S37" i="7"/>
  <c r="T37" i="7"/>
  <c r="U37" i="7"/>
  <c r="AC37" i="7"/>
  <c r="AE37" i="7"/>
  <c r="M38" i="7"/>
  <c r="N38" i="7"/>
  <c r="O38" i="7"/>
  <c r="P38" i="7"/>
  <c r="Q38" i="7"/>
  <c r="R38" i="7"/>
  <c r="S38" i="7"/>
  <c r="T38" i="7"/>
  <c r="U38" i="7"/>
  <c r="AA38" i="7"/>
  <c r="AC38" i="7"/>
  <c r="K38" i="7"/>
  <c r="AE38" i="7"/>
  <c r="M39" i="7"/>
  <c r="N39" i="7"/>
  <c r="O39" i="7"/>
  <c r="P39" i="7"/>
  <c r="Q39" i="7"/>
  <c r="R39" i="7"/>
  <c r="S39" i="7"/>
  <c r="T39" i="7"/>
  <c r="U39" i="7"/>
  <c r="AA39" i="7"/>
  <c r="AC39" i="7"/>
  <c r="W39" i="7"/>
  <c r="X39" i="7"/>
  <c r="AE39" i="7"/>
  <c r="AG39" i="7"/>
  <c r="M40" i="7"/>
  <c r="N40" i="7"/>
  <c r="O40" i="7"/>
  <c r="P40" i="7"/>
  <c r="Q40" i="7"/>
  <c r="R40" i="7"/>
  <c r="S40" i="7"/>
  <c r="T40" i="7"/>
  <c r="U40" i="7"/>
  <c r="AA40" i="7"/>
  <c r="AC40" i="7"/>
  <c r="AE40" i="7"/>
  <c r="AG40" i="7"/>
  <c r="M41" i="7"/>
  <c r="N41" i="7"/>
  <c r="O41" i="7"/>
  <c r="P41" i="7"/>
  <c r="Q41" i="7"/>
  <c r="R41" i="7"/>
  <c r="S41" i="7"/>
  <c r="T41" i="7"/>
  <c r="U41" i="7"/>
  <c r="AA41" i="7"/>
  <c r="AC41" i="7"/>
  <c r="W41" i="7"/>
  <c r="X41" i="7"/>
  <c r="AE41" i="7"/>
  <c r="AG41" i="7"/>
  <c r="M42" i="7"/>
  <c r="N42" i="7"/>
  <c r="O42" i="7"/>
  <c r="P42" i="7"/>
  <c r="Q42" i="7"/>
  <c r="R42" i="7"/>
  <c r="S42" i="7"/>
  <c r="T42" i="7"/>
  <c r="U42" i="7"/>
  <c r="Z42" i="7"/>
  <c r="AA42" i="7"/>
  <c r="AC42" i="7"/>
  <c r="AE42" i="7"/>
  <c r="AG42" i="7"/>
  <c r="M43" i="7"/>
  <c r="N43" i="7"/>
  <c r="O43" i="7"/>
  <c r="P43" i="7"/>
  <c r="Q43" i="7"/>
  <c r="R43" i="7"/>
  <c r="S43" i="7"/>
  <c r="T43" i="7"/>
  <c r="U43" i="7"/>
  <c r="V43" i="7"/>
  <c r="AA43" i="7"/>
  <c r="AC43" i="7"/>
  <c r="W43" i="7"/>
  <c r="X43" i="7"/>
  <c r="AE43" i="7"/>
  <c r="AG43" i="7"/>
  <c r="M44" i="7"/>
  <c r="N44" i="7"/>
  <c r="O44" i="7"/>
  <c r="P44" i="7"/>
  <c r="Q44" i="7"/>
  <c r="R44" i="7"/>
  <c r="S44" i="7"/>
  <c r="T44" i="7"/>
  <c r="U44" i="7"/>
  <c r="Z44" i="7"/>
  <c r="AA44" i="7"/>
  <c r="AC44" i="7"/>
  <c r="AE44" i="7"/>
  <c r="AG44" i="7"/>
  <c r="M45" i="7"/>
  <c r="N45" i="7"/>
  <c r="O45" i="7"/>
  <c r="P45" i="7"/>
  <c r="Q45" i="7"/>
  <c r="R45" i="7"/>
  <c r="S45" i="7"/>
  <c r="T45" i="7"/>
  <c r="U45" i="7"/>
  <c r="V45" i="7"/>
  <c r="AA45" i="7"/>
  <c r="AC45" i="7"/>
  <c r="W45" i="7"/>
  <c r="X45" i="7"/>
  <c r="AE45" i="7"/>
  <c r="AG45" i="7"/>
  <c r="M46" i="7"/>
  <c r="N46" i="7"/>
  <c r="O46" i="7"/>
  <c r="P46" i="7"/>
  <c r="Q46" i="7"/>
  <c r="R46" i="7"/>
  <c r="S46" i="7"/>
  <c r="T46" i="7"/>
  <c r="U46" i="7"/>
  <c r="Z46" i="7"/>
  <c r="AA46" i="7"/>
  <c r="AC46" i="7"/>
  <c r="AE46" i="7"/>
  <c r="AG46" i="7"/>
  <c r="M47" i="7"/>
  <c r="N47" i="7"/>
  <c r="O47" i="7"/>
  <c r="P47" i="7"/>
  <c r="Q47" i="7"/>
  <c r="R47" i="7"/>
  <c r="S47" i="7"/>
  <c r="T47" i="7"/>
  <c r="U47" i="7"/>
  <c r="V47" i="7"/>
  <c r="AA47" i="7"/>
  <c r="AC47" i="7"/>
  <c r="W47" i="7"/>
  <c r="X47" i="7"/>
  <c r="AE47" i="7"/>
  <c r="AG47" i="7"/>
  <c r="M48" i="7"/>
  <c r="N48" i="7"/>
  <c r="O48" i="7"/>
  <c r="P48" i="7"/>
  <c r="Q48" i="7"/>
  <c r="R48" i="7"/>
  <c r="S48" i="7"/>
  <c r="T48" i="7"/>
  <c r="U48" i="7"/>
  <c r="Z48" i="7"/>
  <c r="AA48" i="7"/>
  <c r="AC48" i="7"/>
  <c r="AE48" i="7"/>
  <c r="AG48" i="7"/>
  <c r="M49" i="7"/>
  <c r="N49" i="7"/>
  <c r="O49" i="7"/>
  <c r="P49" i="7"/>
  <c r="Q49" i="7"/>
  <c r="R49" i="7"/>
  <c r="S49" i="7"/>
  <c r="T49" i="7"/>
  <c r="U49" i="7"/>
  <c r="V49" i="7"/>
  <c r="AA49" i="7"/>
  <c r="AC49" i="7"/>
  <c r="W49" i="7"/>
  <c r="X49" i="7"/>
  <c r="AE49" i="7"/>
  <c r="AG49" i="7"/>
  <c r="M50" i="7"/>
  <c r="N50" i="7"/>
  <c r="O50" i="7"/>
  <c r="P50" i="7"/>
  <c r="Q50" i="7"/>
  <c r="R50" i="7"/>
  <c r="S50" i="7"/>
  <c r="T50" i="7"/>
  <c r="U50" i="7"/>
  <c r="Z50" i="7"/>
  <c r="AA50" i="7"/>
  <c r="AE50" i="7"/>
  <c r="AG50" i="7"/>
  <c r="AI50" i="7"/>
  <c r="M51" i="7"/>
  <c r="N51" i="7"/>
  <c r="O51" i="7"/>
  <c r="P51" i="7"/>
  <c r="Q51" i="7"/>
  <c r="R51" i="7"/>
  <c r="S51" i="7"/>
  <c r="T51" i="7"/>
  <c r="U51" i="7"/>
  <c r="AA51" i="7"/>
  <c r="W51" i="7"/>
  <c r="X51" i="7"/>
  <c r="AE51" i="7"/>
  <c r="AG51" i="7"/>
  <c r="M52" i="7"/>
  <c r="N52" i="7"/>
  <c r="O52" i="7"/>
  <c r="P52" i="7"/>
  <c r="Q52" i="7"/>
  <c r="R52" i="7"/>
  <c r="S52" i="7"/>
  <c r="T52" i="7"/>
  <c r="U52" i="7"/>
  <c r="AA52" i="7"/>
  <c r="AE52" i="7"/>
  <c r="AG52" i="7"/>
  <c r="AI52" i="7"/>
  <c r="M53" i="7"/>
  <c r="N53" i="7"/>
  <c r="O53" i="7"/>
  <c r="P53" i="7"/>
  <c r="Q53" i="7"/>
  <c r="R53" i="7"/>
  <c r="S53" i="7"/>
  <c r="T53" i="7"/>
  <c r="U53" i="7"/>
  <c r="AA53" i="7"/>
  <c r="W53" i="7"/>
  <c r="X53" i="7"/>
  <c r="AE53" i="7"/>
  <c r="AG53" i="7"/>
  <c r="M54" i="7"/>
  <c r="N54" i="7"/>
  <c r="O54" i="7"/>
  <c r="P54" i="7"/>
  <c r="Q54" i="7"/>
  <c r="R54" i="7"/>
  <c r="S54" i="7"/>
  <c r="T54" i="7"/>
  <c r="U54" i="7"/>
  <c r="AA54" i="7"/>
  <c r="K54" i="7"/>
  <c r="AE54" i="7"/>
  <c r="AG54" i="7"/>
  <c r="AI54" i="7"/>
  <c r="M55" i="7"/>
  <c r="N55" i="7"/>
  <c r="O55" i="7"/>
  <c r="P55" i="7"/>
  <c r="Q55" i="7"/>
  <c r="R55" i="7"/>
  <c r="S55" i="7"/>
  <c r="T55" i="7"/>
  <c r="U55" i="7"/>
  <c r="AA55" i="7"/>
  <c r="X55" i="7"/>
  <c r="AE55" i="7"/>
  <c r="AG55" i="7"/>
  <c r="M56" i="7"/>
  <c r="N56" i="7"/>
  <c r="O56" i="7"/>
  <c r="P56" i="7"/>
  <c r="Q56" i="7"/>
  <c r="R56" i="7"/>
  <c r="S56" i="7"/>
  <c r="T56" i="7"/>
  <c r="U56" i="7"/>
  <c r="AA56" i="7"/>
  <c r="K56" i="7"/>
  <c r="AE56" i="7"/>
  <c r="AG56" i="7"/>
  <c r="N57" i="7"/>
  <c r="O57" i="7"/>
  <c r="P57" i="7"/>
  <c r="R57" i="7"/>
  <c r="S57" i="7"/>
  <c r="T57" i="7"/>
  <c r="U57" i="7"/>
  <c r="AA57" i="7"/>
  <c r="AE57" i="7"/>
  <c r="M58" i="7"/>
  <c r="N58" i="7"/>
  <c r="O58" i="7"/>
  <c r="P58" i="7"/>
  <c r="Q58" i="7"/>
  <c r="R58" i="7"/>
  <c r="S58" i="7"/>
  <c r="T58" i="7"/>
  <c r="U58" i="7"/>
  <c r="AA58" i="7"/>
  <c r="AE58" i="7"/>
  <c r="AG58" i="7"/>
  <c r="N59" i="7"/>
  <c r="P59" i="7"/>
  <c r="R59" i="7"/>
  <c r="S59" i="7"/>
  <c r="T59" i="7"/>
  <c r="U59" i="7"/>
  <c r="AA59" i="7"/>
  <c r="M60" i="7"/>
  <c r="N60" i="7"/>
  <c r="O60" i="7"/>
  <c r="P60" i="7"/>
  <c r="Q60" i="7"/>
  <c r="R60" i="7"/>
  <c r="S60" i="7"/>
  <c r="T60" i="7"/>
  <c r="U60" i="7"/>
  <c r="AA60" i="7"/>
  <c r="AE60" i="7"/>
  <c r="AG60" i="7"/>
  <c r="R61" i="7"/>
  <c r="S61" i="7"/>
  <c r="T61" i="7"/>
  <c r="M62" i="7"/>
  <c r="N62" i="7"/>
  <c r="O62" i="7"/>
  <c r="P62" i="7"/>
  <c r="Q62" i="7"/>
  <c r="R62" i="7"/>
  <c r="S62" i="7"/>
  <c r="T62" i="7"/>
  <c r="U62" i="7"/>
  <c r="AA62" i="7"/>
  <c r="AE62" i="7"/>
  <c r="AG62" i="7"/>
  <c r="M63" i="7"/>
  <c r="N63" i="7"/>
  <c r="O63" i="7"/>
  <c r="P63" i="7"/>
  <c r="Q63" i="7"/>
  <c r="R63" i="7"/>
  <c r="S63" i="7"/>
  <c r="T63" i="7"/>
  <c r="U63" i="7"/>
  <c r="V63" i="7"/>
  <c r="Z63" i="7"/>
  <c r="AA63" i="7"/>
  <c r="AB63" i="7"/>
  <c r="AC63" i="7"/>
  <c r="AD63" i="7"/>
  <c r="AE63" i="7"/>
  <c r="AF63" i="7"/>
  <c r="AG63" i="7"/>
  <c r="AH63" i="7"/>
  <c r="M64" i="7"/>
  <c r="N64" i="7"/>
  <c r="O64" i="7"/>
  <c r="P64" i="7"/>
  <c r="Q64" i="7"/>
  <c r="R64" i="7"/>
  <c r="S64" i="7"/>
  <c r="T64" i="7"/>
  <c r="U64" i="7"/>
  <c r="V64" i="7"/>
  <c r="Z64" i="7"/>
  <c r="AA64" i="7"/>
  <c r="AB64" i="7"/>
  <c r="AC64" i="7"/>
  <c r="AD64" i="7"/>
  <c r="AE64" i="7"/>
  <c r="AF64" i="7"/>
  <c r="AG64" i="7"/>
  <c r="AH64" i="7"/>
  <c r="M65" i="7"/>
  <c r="N65" i="7"/>
  <c r="O65" i="7"/>
  <c r="P65" i="7"/>
  <c r="Q65" i="7"/>
  <c r="R65" i="7"/>
  <c r="S65" i="7"/>
  <c r="T65" i="7"/>
  <c r="U65" i="7"/>
  <c r="V65" i="7"/>
  <c r="Z65" i="7"/>
  <c r="AA65" i="7"/>
  <c r="AB65" i="7"/>
  <c r="AC65" i="7"/>
  <c r="AD65" i="7"/>
  <c r="AE65" i="7"/>
  <c r="AF65" i="7"/>
  <c r="AG65" i="7"/>
  <c r="AH65" i="7"/>
  <c r="M66" i="7"/>
  <c r="N66" i="7"/>
  <c r="O66" i="7"/>
  <c r="P66" i="7"/>
  <c r="Q66" i="7"/>
  <c r="R66" i="7"/>
  <c r="S66" i="7"/>
  <c r="T66" i="7"/>
  <c r="U66" i="7"/>
  <c r="V66" i="7"/>
  <c r="Z66" i="7"/>
  <c r="AA66" i="7"/>
  <c r="AB66" i="7"/>
  <c r="AC66" i="7"/>
  <c r="AD66" i="7"/>
  <c r="AE66" i="7"/>
  <c r="AF66" i="7"/>
  <c r="AG66" i="7"/>
  <c r="AH66" i="7"/>
  <c r="AC67" i="7"/>
  <c r="AE67" i="7"/>
  <c r="AF67" i="7"/>
  <c r="AG67" i="7"/>
  <c r="M68" i="7"/>
  <c r="N68" i="7"/>
  <c r="O68" i="7"/>
  <c r="P68" i="7"/>
  <c r="Q68" i="7"/>
  <c r="R68" i="7"/>
  <c r="S68" i="7"/>
  <c r="T68" i="7"/>
  <c r="U68" i="7"/>
  <c r="V68" i="7"/>
  <c r="Z68" i="7"/>
  <c r="AA68" i="7"/>
  <c r="AB68" i="7"/>
  <c r="AC68" i="7"/>
  <c r="AE68" i="7"/>
  <c r="AF68" i="7"/>
  <c r="AI68" i="7"/>
  <c r="AE69" i="7"/>
  <c r="AA70" i="7"/>
  <c r="AC70" i="7"/>
  <c r="W70" i="7"/>
  <c r="X70" i="7"/>
  <c r="AE70" i="7"/>
  <c r="AF70" i="7"/>
  <c r="AG70" i="7"/>
  <c r="AH70" i="7"/>
  <c r="M71" i="7"/>
  <c r="N71" i="7"/>
  <c r="O71" i="7"/>
  <c r="P71" i="7"/>
  <c r="Q71" i="7"/>
  <c r="R71" i="7"/>
  <c r="S71" i="7"/>
  <c r="T71" i="7"/>
  <c r="U71" i="7"/>
  <c r="V71" i="7"/>
  <c r="Z71" i="7"/>
  <c r="AA71" i="7"/>
  <c r="AC71" i="7"/>
  <c r="W71" i="7"/>
  <c r="X71" i="7"/>
  <c r="Y71" i="7"/>
  <c r="H71" i="7"/>
  <c r="J71" i="7"/>
  <c r="K71" i="7"/>
  <c r="AE71" i="7"/>
  <c r="AF71" i="7"/>
  <c r="AG71" i="7"/>
  <c r="AH71" i="7"/>
  <c r="AN71" i="7"/>
  <c r="AO71" i="7"/>
  <c r="AP71" i="7"/>
  <c r="AQ71" i="7"/>
  <c r="AR71" i="7"/>
  <c r="AS71" i="7"/>
  <c r="AT71" i="7"/>
  <c r="AU71" i="7"/>
  <c r="AV71" i="7"/>
  <c r="M72" i="7"/>
  <c r="N72" i="7"/>
  <c r="O72" i="7"/>
  <c r="P72" i="7"/>
  <c r="Q72" i="7"/>
  <c r="R72" i="7"/>
  <c r="S72" i="7"/>
  <c r="U72" i="7"/>
  <c r="V72" i="7"/>
  <c r="AA72" i="7"/>
  <c r="AC72" i="7"/>
  <c r="W72" i="7"/>
  <c r="X72" i="7"/>
  <c r="AE72" i="7"/>
  <c r="AF72" i="7"/>
  <c r="AN72" i="7"/>
  <c r="AT72" i="7"/>
  <c r="M73" i="7"/>
  <c r="N73" i="7"/>
  <c r="O73" i="7"/>
  <c r="P73" i="7"/>
  <c r="Q73" i="7"/>
  <c r="R73" i="7"/>
  <c r="S73" i="7"/>
  <c r="T73" i="7"/>
  <c r="U73" i="7"/>
  <c r="X73" i="7"/>
  <c r="AE73" i="7"/>
  <c r="AF73" i="7"/>
  <c r="M74" i="7"/>
  <c r="N74" i="7"/>
  <c r="O74" i="7"/>
  <c r="P74" i="7"/>
  <c r="Q74" i="7"/>
  <c r="R74" i="7"/>
  <c r="S74" i="7"/>
  <c r="T74" i="7"/>
  <c r="V74" i="7"/>
  <c r="X74" i="7"/>
  <c r="K74" i="7"/>
  <c r="AE74" i="7"/>
  <c r="AF74" i="7"/>
  <c r="AG74" i="7"/>
  <c r="M75" i="7"/>
  <c r="N75" i="7"/>
  <c r="O75" i="7"/>
  <c r="P75" i="7"/>
  <c r="Q75" i="7"/>
  <c r="R75" i="7"/>
  <c r="S75" i="7"/>
  <c r="T75" i="7"/>
  <c r="U75" i="7"/>
  <c r="V75" i="7"/>
  <c r="AE75" i="7"/>
  <c r="AF75" i="7"/>
  <c r="AK75" i="7"/>
  <c r="M76" i="7"/>
  <c r="N76" i="7"/>
  <c r="O76" i="7"/>
  <c r="P76" i="7"/>
  <c r="Q76" i="7"/>
  <c r="R76" i="7"/>
  <c r="S76" i="7"/>
  <c r="T76" i="7"/>
  <c r="U76" i="7"/>
  <c r="V76" i="7"/>
  <c r="AE76" i="7"/>
  <c r="AF76" i="7"/>
  <c r="AJ76" i="7"/>
  <c r="AK76" i="7"/>
  <c r="O77" i="7"/>
  <c r="S77" i="7"/>
  <c r="U77" i="7"/>
  <c r="Z77" i="7"/>
  <c r="K77" i="7"/>
  <c r="AE77" i="7"/>
  <c r="AF77" i="7"/>
  <c r="AG77" i="7"/>
  <c r="AN77" i="7"/>
  <c r="AO77" i="7"/>
  <c r="AP77" i="7"/>
  <c r="AQ77" i="7"/>
  <c r="AR77" i="7"/>
  <c r="AT77" i="7"/>
  <c r="M78" i="7"/>
  <c r="O78" i="7"/>
  <c r="S78" i="7"/>
  <c r="U78" i="7"/>
  <c r="AE78" i="7"/>
  <c r="AF78" i="7"/>
  <c r="AG78" i="7"/>
  <c r="M79" i="7"/>
  <c r="N79" i="7"/>
  <c r="Q79" i="7"/>
  <c r="AT79" i="7"/>
  <c r="M80" i="7"/>
  <c r="N80" i="7"/>
  <c r="O80" i="7"/>
  <c r="P80" i="7"/>
  <c r="Q80" i="7"/>
  <c r="R80" i="7"/>
  <c r="S80" i="7"/>
  <c r="T80" i="7"/>
  <c r="U80" i="7"/>
  <c r="V80" i="7"/>
  <c r="AE80" i="7"/>
  <c r="AF80" i="7"/>
  <c r="M81" i="7"/>
  <c r="N81" i="7"/>
  <c r="O81" i="7"/>
  <c r="P81" i="7"/>
  <c r="Q81" i="7"/>
  <c r="R81" i="7"/>
  <c r="S81" i="7"/>
  <c r="T81" i="7"/>
  <c r="U81" i="7"/>
  <c r="V81" i="7"/>
  <c r="K81" i="7"/>
  <c r="AE81" i="7"/>
  <c r="AF81" i="7"/>
  <c r="AG81" i="7"/>
  <c r="M82" i="7"/>
  <c r="N82" i="7"/>
  <c r="O82" i="7"/>
  <c r="P82" i="7"/>
  <c r="Q82" i="7"/>
  <c r="R82" i="7"/>
  <c r="S82" i="7"/>
  <c r="T82" i="7"/>
  <c r="U82" i="7"/>
  <c r="V82" i="7"/>
  <c r="AA82" i="7"/>
  <c r="W82" i="7"/>
  <c r="X82" i="7"/>
  <c r="K82" i="7"/>
  <c r="AE82" i="7"/>
  <c r="AF82" i="7"/>
  <c r="AT82" i="7"/>
  <c r="AV82" i="7"/>
  <c r="N83" i="7"/>
  <c r="O83" i="7"/>
  <c r="P83" i="7"/>
  <c r="Q83" i="7"/>
  <c r="R83" i="7"/>
  <c r="S83" i="7"/>
  <c r="T83" i="7"/>
  <c r="U83" i="7"/>
  <c r="V83" i="7"/>
  <c r="Z83" i="7"/>
  <c r="AA83" i="7"/>
  <c r="W83" i="7"/>
  <c r="X83" i="7"/>
  <c r="AE83" i="7"/>
  <c r="AF83" i="7"/>
  <c r="N84" i="7"/>
  <c r="O84" i="7"/>
  <c r="S84" i="7"/>
  <c r="T84" i="7"/>
  <c r="U84" i="7"/>
  <c r="AE84" i="7"/>
  <c r="AF84" i="7"/>
  <c r="AG84" i="7"/>
  <c r="M86" i="7"/>
  <c r="N86" i="7"/>
  <c r="O86" i="7"/>
  <c r="P86" i="7"/>
  <c r="Q86" i="7"/>
  <c r="R86" i="7"/>
  <c r="S86" i="7"/>
  <c r="T86" i="7"/>
  <c r="U86" i="7"/>
  <c r="V86" i="7"/>
  <c r="Z86" i="7"/>
  <c r="AA86" i="7"/>
  <c r="AC86" i="7"/>
  <c r="W86" i="7"/>
  <c r="X86" i="7"/>
  <c r="M87" i="7"/>
  <c r="N87" i="7"/>
  <c r="O87" i="7"/>
  <c r="P87" i="7"/>
  <c r="Q87" i="7"/>
  <c r="R87" i="7"/>
  <c r="S87" i="7"/>
  <c r="T87" i="7"/>
  <c r="U87" i="7"/>
  <c r="V87" i="7"/>
  <c r="Z87" i="7"/>
  <c r="AA87" i="7"/>
  <c r="AB87" i="7"/>
  <c r="AC87" i="7"/>
  <c r="X87" i="7"/>
  <c r="H87" i="7"/>
  <c r="K87" i="7"/>
  <c r="AE87" i="7"/>
  <c r="AF87" i="7"/>
  <c r="AN87" i="7"/>
  <c r="AR87" i="7"/>
  <c r="AT87" i="7"/>
  <c r="M88" i="7"/>
  <c r="N88" i="7"/>
  <c r="O88" i="7"/>
  <c r="P88" i="7"/>
  <c r="Q88" i="7"/>
  <c r="R88" i="7"/>
  <c r="S88" i="7"/>
  <c r="T88" i="7"/>
  <c r="U88" i="7"/>
  <c r="V88" i="7"/>
  <c r="Z88" i="7"/>
  <c r="AC88" i="7"/>
  <c r="AT88" i="7"/>
  <c r="M89" i="7"/>
  <c r="N89" i="7"/>
  <c r="O89" i="7"/>
  <c r="P89" i="7"/>
  <c r="Q89" i="7"/>
  <c r="R89" i="7"/>
  <c r="S89" i="7"/>
  <c r="T89" i="7"/>
  <c r="U89" i="7"/>
  <c r="V89" i="7"/>
  <c r="Z89" i="7"/>
  <c r="AA89" i="7"/>
  <c r="AB89" i="7"/>
  <c r="AC89" i="7"/>
  <c r="AD89" i="7"/>
  <c r="AF89" i="7"/>
  <c r="AH89" i="7"/>
  <c r="AS89" i="7"/>
  <c r="AT89" i="7"/>
  <c r="AV89" i="7"/>
  <c r="M90" i="7"/>
  <c r="N90" i="7"/>
  <c r="O90" i="7"/>
  <c r="P90" i="7"/>
  <c r="Q90" i="7"/>
  <c r="R90" i="7"/>
  <c r="S90" i="7"/>
  <c r="T90" i="7"/>
  <c r="U90" i="7"/>
  <c r="V90" i="7"/>
  <c r="Z90" i="7"/>
  <c r="AA90" i="7"/>
  <c r="AC90" i="7"/>
  <c r="W90" i="7"/>
  <c r="X90" i="7"/>
  <c r="AE90" i="7"/>
  <c r="AF90" i="7"/>
  <c r="AS90" i="7"/>
  <c r="AT90" i="7"/>
  <c r="AU90" i="7"/>
  <c r="AV90" i="7"/>
  <c r="M91" i="7"/>
  <c r="N91" i="7"/>
  <c r="O91" i="7"/>
  <c r="P91" i="7"/>
  <c r="Q91" i="7"/>
  <c r="R91" i="7"/>
  <c r="S91" i="7"/>
  <c r="T91" i="7"/>
  <c r="U91" i="7"/>
  <c r="V91" i="7"/>
  <c r="Z91" i="7"/>
  <c r="AA91" i="7"/>
  <c r="AC91" i="7"/>
  <c r="W91" i="7"/>
  <c r="X91" i="7"/>
  <c r="J91" i="7"/>
  <c r="K91" i="7"/>
  <c r="AE91" i="7"/>
  <c r="AF91" i="7"/>
  <c r="AG91" i="7"/>
  <c r="AH91" i="7"/>
  <c r="AS91" i="7"/>
  <c r="AT91" i="7"/>
  <c r="AU91" i="7"/>
  <c r="AV91" i="7"/>
  <c r="M92" i="7"/>
  <c r="N92" i="7"/>
  <c r="O92" i="7"/>
  <c r="P92" i="7"/>
  <c r="Q92" i="7"/>
  <c r="R92" i="7"/>
  <c r="S92" i="7"/>
  <c r="T92" i="7"/>
  <c r="U92" i="7"/>
  <c r="V92" i="7"/>
  <c r="AC92" i="7"/>
  <c r="W92" i="7"/>
  <c r="X92" i="7"/>
  <c r="H92" i="7"/>
  <c r="AE92" i="7"/>
  <c r="AF92" i="7"/>
  <c r="AG92" i="7"/>
  <c r="AH92" i="7"/>
  <c r="AT92" i="7"/>
  <c r="AU92" i="7"/>
  <c r="AV92" i="7"/>
  <c r="AA93" i="7"/>
  <c r="AE93" i="7"/>
  <c r="AF93" i="7"/>
  <c r="M94" i="7"/>
  <c r="N94" i="7"/>
  <c r="O94" i="7"/>
  <c r="P94" i="7"/>
  <c r="Q94" i="7"/>
  <c r="S94" i="7"/>
  <c r="T94" i="7"/>
  <c r="U94" i="7"/>
  <c r="Z94" i="7"/>
  <c r="AA94" i="7"/>
  <c r="AB94" i="7"/>
  <c r="AC94" i="7"/>
  <c r="AD94" i="7"/>
  <c r="W94" i="7"/>
  <c r="X94" i="7"/>
  <c r="K94" i="7"/>
  <c r="AE94" i="7"/>
  <c r="AF94" i="7"/>
  <c r="AG94" i="7"/>
  <c r="AH94" i="7"/>
  <c r="AS94" i="7"/>
  <c r="AT94" i="7"/>
  <c r="AV94" i="7"/>
  <c r="M95" i="7"/>
  <c r="N95" i="7"/>
  <c r="O95" i="7"/>
  <c r="P95" i="7"/>
  <c r="Q95" i="7"/>
  <c r="R95" i="7"/>
  <c r="S95" i="7"/>
  <c r="T95" i="7"/>
  <c r="U95" i="7"/>
  <c r="V95" i="7"/>
  <c r="AE95" i="7"/>
  <c r="AG95" i="7"/>
  <c r="AH95" i="7"/>
  <c r="AJ95" i="7"/>
  <c r="AT95" i="7"/>
  <c r="AU95" i="7"/>
  <c r="M97" i="7"/>
  <c r="N97" i="7"/>
  <c r="O97" i="7"/>
  <c r="P97" i="7"/>
  <c r="Q97" i="7"/>
  <c r="R97" i="7"/>
  <c r="S97" i="7"/>
  <c r="T97" i="7"/>
  <c r="U97" i="7"/>
  <c r="V97" i="7"/>
  <c r="AA97" i="7"/>
  <c r="M98" i="7"/>
  <c r="N98" i="7"/>
  <c r="O98" i="7"/>
  <c r="P98" i="7"/>
  <c r="Q98" i="7"/>
  <c r="R98" i="7"/>
  <c r="S98" i="7"/>
  <c r="T98" i="7"/>
  <c r="U98" i="7"/>
  <c r="V98" i="7"/>
  <c r="Z98" i="7"/>
  <c r="AA98" i="7"/>
  <c r="AC98" i="7"/>
  <c r="AE98" i="7"/>
  <c r="AF98" i="7"/>
  <c r="AG98" i="7"/>
  <c r="P102" i="7"/>
  <c r="Q102" i="7"/>
  <c r="S102" i="7"/>
  <c r="N106" i="7"/>
  <c r="P106" i="7"/>
  <c r="S106" i="7"/>
  <c r="V106" i="7"/>
  <c r="M107" i="7"/>
  <c r="N107" i="7"/>
  <c r="O107" i="7"/>
  <c r="P107" i="7"/>
  <c r="Q107" i="7"/>
  <c r="R107" i="7"/>
  <c r="S107" i="7"/>
  <c r="T107" i="7"/>
  <c r="U107" i="7"/>
  <c r="V107" i="7"/>
  <c r="AA107" i="7"/>
  <c r="W107" i="7"/>
  <c r="X107" i="7"/>
  <c r="Y107" i="7"/>
  <c r="K107" i="7"/>
  <c r="AE107" i="7"/>
  <c r="AF107" i="7"/>
  <c r="AG107" i="7"/>
  <c r="AH107" i="7"/>
  <c r="AS107" i="7"/>
  <c r="AT107" i="7"/>
  <c r="AU107" i="7"/>
  <c r="AV107" i="7"/>
  <c r="M110" i="7"/>
  <c r="N110" i="7"/>
  <c r="O110" i="7"/>
  <c r="P110" i="7"/>
  <c r="Q110" i="7"/>
  <c r="R110" i="7"/>
  <c r="S110" i="7"/>
  <c r="T110" i="7"/>
  <c r="U110" i="7"/>
  <c r="V110" i="7"/>
  <c r="Z110" i="7"/>
  <c r="AA110" i="7"/>
  <c r="W110" i="7"/>
  <c r="X110" i="7"/>
  <c r="AF110" i="7"/>
  <c r="AN110" i="7"/>
  <c r="AO110" i="7"/>
  <c r="M111" i="7"/>
  <c r="N111" i="7"/>
  <c r="O111" i="7"/>
  <c r="P111" i="7"/>
  <c r="Q111" i="7"/>
  <c r="R111" i="7"/>
  <c r="S111" i="7"/>
  <c r="T111" i="7"/>
  <c r="U111" i="7"/>
  <c r="V111" i="7"/>
  <c r="AA111" i="7"/>
  <c r="AC111" i="7"/>
  <c r="W111" i="7"/>
  <c r="X111" i="7"/>
  <c r="AN111" i="7"/>
  <c r="M112" i="7"/>
  <c r="N112" i="7"/>
  <c r="O112" i="7"/>
  <c r="P112" i="7"/>
  <c r="Q112" i="7"/>
  <c r="R112" i="7"/>
  <c r="S112" i="7"/>
  <c r="U112" i="7"/>
  <c r="V112" i="7"/>
  <c r="AE112" i="7"/>
  <c r="AF112" i="7"/>
  <c r="M113" i="7"/>
  <c r="N113" i="7"/>
  <c r="O113" i="7"/>
  <c r="P113" i="7"/>
  <c r="Q113" i="7"/>
  <c r="R113" i="7"/>
  <c r="S113" i="7"/>
  <c r="T113" i="7"/>
  <c r="U113" i="7"/>
  <c r="V113" i="7"/>
  <c r="AA113" i="7"/>
  <c r="W113" i="7"/>
  <c r="X113" i="7"/>
  <c r="H113" i="7"/>
  <c r="AE113" i="7"/>
  <c r="AF113" i="7"/>
  <c r="AT113" i="7"/>
  <c r="AV113" i="7"/>
  <c r="M114" i="7"/>
  <c r="N114" i="7"/>
  <c r="O114" i="7"/>
  <c r="P114" i="7"/>
  <c r="Q114" i="7"/>
  <c r="R114" i="7"/>
  <c r="S114" i="7"/>
  <c r="T114" i="7"/>
  <c r="U114" i="7"/>
  <c r="V114" i="7"/>
  <c r="Z114" i="7"/>
  <c r="AA114" i="7"/>
  <c r="AC114" i="7"/>
  <c r="W114" i="7"/>
  <c r="X114" i="7"/>
  <c r="K114" i="7"/>
  <c r="AE114" i="7"/>
  <c r="AF114" i="7"/>
  <c r="AG114" i="7"/>
  <c r="AI114" i="7"/>
  <c r="AJ114" i="7"/>
  <c r="AK114" i="7"/>
  <c r="AL114" i="7"/>
  <c r="AN114" i="7"/>
  <c r="AT114" i="7"/>
  <c r="AV114" i="7"/>
  <c r="M115" i="7"/>
  <c r="N115" i="7"/>
  <c r="O115" i="7"/>
  <c r="P115" i="7"/>
  <c r="Q115" i="7"/>
  <c r="R115" i="7"/>
  <c r="S115" i="7"/>
  <c r="T115" i="7"/>
  <c r="U115" i="7"/>
  <c r="V115" i="7"/>
  <c r="Z115" i="7"/>
  <c r="AA115" i="7"/>
  <c r="AC115" i="7"/>
  <c r="W115" i="7"/>
  <c r="X115" i="7"/>
  <c r="AE115" i="7"/>
  <c r="AF115" i="7"/>
  <c r="AG115" i="7"/>
  <c r="AS115" i="7"/>
  <c r="AT115" i="7"/>
  <c r="AU115" i="7"/>
  <c r="AV115" i="7"/>
  <c r="M116" i="7"/>
  <c r="N116" i="7"/>
  <c r="O116" i="7"/>
  <c r="Z116" i="7"/>
  <c r="AA116" i="7"/>
  <c r="AC116" i="7"/>
  <c r="W116" i="7"/>
  <c r="X116" i="7"/>
  <c r="M117" i="7"/>
  <c r="N117" i="7"/>
  <c r="Q117" i="7"/>
  <c r="T117" i="7"/>
  <c r="V117" i="7"/>
  <c r="Z117" i="7"/>
  <c r="AA117" i="7"/>
  <c r="AC117" i="7"/>
  <c r="W117" i="7"/>
  <c r="X117" i="7"/>
  <c r="AG117" i="7"/>
  <c r="AH117" i="7"/>
  <c r="AS117" i="7"/>
  <c r="AT117" i="7"/>
  <c r="AU117" i="7"/>
  <c r="AV117" i="7"/>
  <c r="M118" i="7"/>
  <c r="N118" i="7"/>
  <c r="O118" i="7"/>
  <c r="P118" i="7"/>
  <c r="Q118" i="7"/>
  <c r="R118" i="7"/>
  <c r="S118" i="7"/>
  <c r="T118" i="7"/>
  <c r="U118" i="7"/>
  <c r="V118" i="7"/>
  <c r="AA118" i="7"/>
  <c r="AC118" i="7"/>
  <c r="M119" i="7"/>
  <c r="N119" i="7"/>
  <c r="O119" i="7"/>
  <c r="P119" i="7"/>
  <c r="Q119" i="7"/>
  <c r="R119" i="7"/>
  <c r="S119" i="7"/>
  <c r="T119" i="7"/>
  <c r="U119" i="7"/>
  <c r="V119" i="7"/>
  <c r="AA119" i="7"/>
  <c r="AB119" i="7"/>
  <c r="AC119" i="7"/>
  <c r="W119" i="7"/>
  <c r="X119" i="7"/>
  <c r="AE119" i="7"/>
  <c r="AF119" i="7"/>
  <c r="M120" i="7"/>
  <c r="N120" i="7"/>
  <c r="O120" i="7"/>
  <c r="P120" i="7"/>
  <c r="Q120" i="7"/>
  <c r="R120" i="7"/>
  <c r="S120" i="7"/>
  <c r="T120" i="7"/>
  <c r="U120" i="7"/>
  <c r="V120" i="7"/>
  <c r="AA120" i="7"/>
  <c r="AC120" i="7"/>
  <c r="K120" i="7"/>
  <c r="AE120" i="7"/>
  <c r="AF120" i="7"/>
  <c r="AT120" i="7"/>
  <c r="M121" i="7"/>
  <c r="N121" i="7"/>
  <c r="O121" i="7"/>
  <c r="P121" i="7"/>
  <c r="Q121" i="7"/>
  <c r="S121" i="7"/>
  <c r="T121" i="7"/>
  <c r="U121" i="7"/>
  <c r="V121" i="7"/>
  <c r="Z121" i="7"/>
  <c r="AA121" i="7"/>
  <c r="AC121" i="7"/>
  <c r="W121" i="7"/>
  <c r="X121" i="7"/>
  <c r="AS121" i="7"/>
  <c r="AT121" i="7"/>
  <c r="AU121" i="7"/>
  <c r="AV121" i="7"/>
  <c r="M122" i="7"/>
  <c r="N122" i="7"/>
  <c r="O122" i="7"/>
  <c r="P122" i="7"/>
  <c r="Q122" i="7"/>
  <c r="R122" i="7"/>
  <c r="S122" i="7"/>
  <c r="T122" i="7"/>
  <c r="U122" i="7"/>
  <c r="V122" i="7"/>
  <c r="Z122" i="7"/>
  <c r="AA122" i="7"/>
  <c r="AB122" i="7"/>
  <c r="AC122" i="7"/>
  <c r="W122" i="7"/>
  <c r="X122" i="7"/>
  <c r="AE122" i="7"/>
  <c r="AF122" i="7"/>
  <c r="AT122" i="7"/>
  <c r="AV122" i="7"/>
  <c r="M123" i="7"/>
  <c r="N123" i="7"/>
  <c r="O123" i="7"/>
  <c r="P123" i="7"/>
  <c r="Q123" i="7"/>
  <c r="R123" i="7"/>
  <c r="S123" i="7"/>
  <c r="T123" i="7"/>
  <c r="U123" i="7"/>
  <c r="V123" i="7"/>
  <c r="Z124" i="7"/>
  <c r="AA124" i="7"/>
  <c r="AB124" i="7"/>
  <c r="W124" i="7"/>
  <c r="X124" i="7"/>
  <c r="AT124" i="7"/>
  <c r="AV124" i="7"/>
  <c r="Z125" i="7"/>
  <c r="AA125" i="7"/>
  <c r="W125" i="7"/>
  <c r="X125" i="7"/>
  <c r="M126" i="7"/>
  <c r="N126" i="7"/>
  <c r="O126" i="7"/>
  <c r="P126" i="7"/>
  <c r="Q126" i="7"/>
  <c r="R126" i="7"/>
  <c r="S126" i="7"/>
  <c r="T126" i="7"/>
  <c r="U126" i="7"/>
  <c r="V126" i="7"/>
  <c r="Z126" i="7"/>
  <c r="AA126" i="7"/>
  <c r="AB126" i="7"/>
  <c r="AC126" i="7"/>
  <c r="W126" i="7"/>
  <c r="X126" i="7"/>
  <c r="K126" i="7"/>
  <c r="AE126" i="7"/>
  <c r="AF126" i="7"/>
  <c r="AG126" i="7"/>
  <c r="AH126" i="7"/>
  <c r="AT126" i="7"/>
  <c r="AV126" i="7"/>
  <c r="M127" i="7"/>
  <c r="N127" i="7"/>
  <c r="O127" i="7"/>
  <c r="P127" i="7"/>
  <c r="R127" i="7"/>
  <c r="S127" i="7"/>
  <c r="V127" i="7"/>
  <c r="AA127" i="7"/>
  <c r="W127" i="7"/>
  <c r="X127" i="7"/>
  <c r="AE127" i="7"/>
  <c r="AL127" i="7"/>
  <c r="AS127" i="7"/>
  <c r="AT127" i="7"/>
  <c r="AV127" i="7"/>
  <c r="M128" i="7"/>
  <c r="N128" i="7"/>
  <c r="O128" i="7"/>
  <c r="P128" i="7"/>
  <c r="Q128" i="7"/>
  <c r="R128" i="7"/>
  <c r="T128" i="7"/>
  <c r="U128" i="7"/>
  <c r="V128" i="7"/>
  <c r="Z128" i="7"/>
  <c r="AA128" i="7"/>
  <c r="AC128" i="7"/>
  <c r="W128" i="7"/>
  <c r="X128" i="7"/>
  <c r="AE128" i="7"/>
  <c r="AF128" i="7"/>
  <c r="AG128" i="7"/>
  <c r="AH128" i="7"/>
  <c r="AS128" i="7"/>
  <c r="AT128" i="7"/>
  <c r="AU128" i="7"/>
  <c r="AV128" i="7"/>
  <c r="M129" i="7"/>
  <c r="N129" i="7"/>
  <c r="O129" i="7"/>
  <c r="P129" i="7"/>
  <c r="Q129" i="7"/>
  <c r="R129" i="7"/>
  <c r="S129" i="7"/>
  <c r="T129" i="7"/>
  <c r="U129" i="7"/>
  <c r="V129" i="7"/>
  <c r="AA129" i="7"/>
  <c r="W129" i="7"/>
  <c r="X129" i="7"/>
  <c r="AE129" i="7"/>
  <c r="AF129" i="7"/>
  <c r="AL129" i="7"/>
  <c r="AT129" i="7"/>
  <c r="AV129" i="7"/>
  <c r="M130" i="7"/>
  <c r="N130" i="7"/>
  <c r="P130" i="7"/>
  <c r="Q130" i="7"/>
  <c r="R130" i="7"/>
  <c r="S130" i="7"/>
  <c r="T130" i="7"/>
  <c r="U130" i="7"/>
  <c r="V130" i="7"/>
  <c r="AA130" i="7"/>
  <c r="AC130" i="7"/>
  <c r="W130" i="7"/>
  <c r="X130" i="7"/>
  <c r="K130" i="7"/>
  <c r="AE130" i="7"/>
  <c r="AF130" i="7"/>
  <c r="AI130" i="7"/>
  <c r="AJ130" i="7"/>
  <c r="AK130" i="7"/>
  <c r="AL130" i="7"/>
  <c r="AT130" i="7"/>
  <c r="AV130" i="7"/>
  <c r="M131" i="7"/>
  <c r="N131" i="7"/>
  <c r="O131" i="7"/>
  <c r="Q131" i="7"/>
  <c r="R131" i="7"/>
  <c r="S131" i="7"/>
  <c r="T131" i="7"/>
  <c r="U131" i="7"/>
  <c r="V131" i="7"/>
  <c r="Z131" i="7"/>
  <c r="AA131" i="7"/>
  <c r="AC131" i="7"/>
  <c r="W131" i="7"/>
  <c r="X131" i="7"/>
  <c r="AE131" i="7"/>
  <c r="AF131" i="7"/>
  <c r="AG131" i="7"/>
  <c r="AH131" i="7"/>
  <c r="AL131" i="7"/>
  <c r="AS131" i="7"/>
  <c r="AT131" i="7"/>
  <c r="AU131" i="7"/>
  <c r="AV131" i="7"/>
  <c r="M132" i="7"/>
  <c r="N132" i="7"/>
  <c r="O132" i="7"/>
  <c r="P132" i="7"/>
  <c r="Q132" i="7"/>
  <c r="R132" i="7"/>
  <c r="S132" i="7"/>
  <c r="T132" i="7"/>
  <c r="V132" i="7"/>
  <c r="M133" i="7"/>
  <c r="N133" i="7"/>
  <c r="O133" i="7"/>
  <c r="P133" i="7"/>
  <c r="Q133" i="7"/>
  <c r="R133" i="7"/>
  <c r="S133" i="7"/>
  <c r="T133" i="7"/>
  <c r="U133" i="7"/>
  <c r="V133" i="7"/>
  <c r="Z133" i="7"/>
  <c r="AA133" i="7"/>
  <c r="AB133" i="7"/>
  <c r="AC133" i="7"/>
  <c r="K133" i="7"/>
  <c r="AE133" i="7"/>
  <c r="AF133" i="7"/>
  <c r="AH133" i="7"/>
  <c r="AS133" i="7"/>
  <c r="AT133" i="7"/>
  <c r="AU133" i="7"/>
  <c r="AV133" i="7"/>
  <c r="M134" i="7"/>
  <c r="N134" i="7"/>
  <c r="O134" i="7"/>
  <c r="P134" i="7"/>
  <c r="Q134" i="7"/>
  <c r="R134" i="7"/>
  <c r="S134" i="7"/>
  <c r="T134" i="7"/>
  <c r="U134" i="7"/>
  <c r="V134" i="7"/>
  <c r="Z134" i="7"/>
  <c r="AA134" i="7"/>
  <c r="AC134" i="7"/>
  <c r="AE134" i="7"/>
  <c r="AF134" i="7"/>
  <c r="AT134" i="7"/>
  <c r="AV134" i="7"/>
  <c r="M135" i="7"/>
  <c r="N135" i="7"/>
  <c r="O135" i="7"/>
  <c r="P135" i="7"/>
  <c r="Q135" i="7"/>
  <c r="R135" i="7"/>
  <c r="S135" i="7"/>
  <c r="T135" i="7"/>
  <c r="U135" i="7"/>
  <c r="V135" i="7"/>
  <c r="Z135" i="7"/>
  <c r="AA135" i="7"/>
  <c r="AC135" i="7"/>
  <c r="AE135" i="7"/>
  <c r="M136" i="7"/>
  <c r="N136" i="7"/>
  <c r="O136" i="7"/>
  <c r="P136" i="7"/>
  <c r="Q136" i="7"/>
  <c r="R136" i="7"/>
  <c r="S136" i="7"/>
  <c r="T136" i="7"/>
  <c r="U136" i="7"/>
  <c r="V136" i="7"/>
  <c r="Z136" i="7"/>
  <c r="AA136" i="7"/>
  <c r="AB136" i="7"/>
  <c r="AC136" i="7"/>
  <c r="K136" i="7"/>
  <c r="AE136" i="7"/>
  <c r="AG136" i="7"/>
  <c r="AH136" i="7"/>
  <c r="AS136" i="7"/>
  <c r="AT136" i="7"/>
  <c r="AV136" i="7"/>
  <c r="AE137" i="7"/>
  <c r="AF137" i="7"/>
  <c r="AH137" i="7"/>
  <c r="Q138" i="7"/>
  <c r="S138" i="7"/>
  <c r="T138" i="7"/>
  <c r="U138" i="7"/>
  <c r="AE138" i="7"/>
  <c r="AF138" i="7"/>
  <c r="AG138" i="7"/>
  <c r="AH138" i="7"/>
  <c r="AA139" i="7"/>
  <c r="AE139" i="7"/>
  <c r="AF139" i="7"/>
  <c r="AG139" i="7"/>
  <c r="AH139" i="7"/>
  <c r="AA140" i="7"/>
  <c r="AE140" i="7"/>
  <c r="AF140" i="7"/>
  <c r="AG140" i="7"/>
  <c r="AH140" i="7"/>
  <c r="AA141" i="7"/>
  <c r="AE141" i="7"/>
  <c r="M145" i="7"/>
  <c r="N145" i="7"/>
  <c r="O145" i="7"/>
  <c r="P145" i="7"/>
  <c r="Q145" i="7"/>
  <c r="R145" i="7"/>
  <c r="S145" i="7"/>
  <c r="T145" i="7"/>
  <c r="U145" i="7"/>
  <c r="V145" i="7"/>
  <c r="M147" i="7"/>
  <c r="N147" i="7"/>
  <c r="O147" i="7"/>
  <c r="P147" i="7"/>
  <c r="Q147" i="7"/>
  <c r="R147" i="7"/>
  <c r="S147" i="7"/>
  <c r="T147" i="7"/>
  <c r="U147" i="7"/>
  <c r="V147" i="7"/>
  <c r="M148" i="7"/>
  <c r="N148" i="7"/>
  <c r="O148" i="7"/>
  <c r="P148" i="7"/>
  <c r="Q148" i="7"/>
  <c r="R148" i="7"/>
  <c r="S148" i="7"/>
  <c r="T148" i="7"/>
  <c r="U148" i="7"/>
  <c r="V148" i="7"/>
  <c r="M149" i="7"/>
  <c r="N149" i="7"/>
  <c r="O149" i="7"/>
  <c r="P149" i="7"/>
  <c r="Q149" i="7"/>
  <c r="R149" i="7"/>
  <c r="S149" i="7"/>
  <c r="T149" i="7"/>
  <c r="U149" i="7"/>
  <c r="V149" i="7"/>
  <c r="M150" i="7"/>
  <c r="N150" i="7"/>
  <c r="O150" i="7"/>
  <c r="P150" i="7"/>
  <c r="Q150" i="7"/>
  <c r="R150" i="7"/>
  <c r="T150" i="7"/>
  <c r="U150" i="7"/>
  <c r="AG151" i="7"/>
  <c r="M154" i="7"/>
  <c r="N154" i="7"/>
  <c r="O154" i="7"/>
  <c r="P154" i="7"/>
  <c r="Q154" i="7"/>
  <c r="R154" i="7"/>
  <c r="S154" i="7"/>
  <c r="T154" i="7"/>
  <c r="U154" i="7"/>
  <c r="V154" i="7"/>
  <c r="Z154" i="7"/>
  <c r="AB154" i="7"/>
  <c r="K154" i="7"/>
  <c r="AE154" i="7"/>
  <c r="AV154" i="7"/>
  <c r="M158" i="7"/>
  <c r="N158" i="7"/>
  <c r="O158" i="7"/>
  <c r="P158" i="7"/>
  <c r="Q158" i="7"/>
  <c r="R158" i="7"/>
  <c r="S158" i="7"/>
  <c r="T158" i="7"/>
  <c r="U158" i="7"/>
  <c r="V158" i="7"/>
  <c r="Z158" i="7"/>
  <c r="AA158" i="7"/>
  <c r="AC158" i="7"/>
  <c r="AE158" i="7"/>
  <c r="AF158" i="7"/>
  <c r="AS158" i="7"/>
  <c r="AT158" i="7"/>
  <c r="AU158" i="7"/>
  <c r="AV158" i="7"/>
  <c r="M159" i="7"/>
  <c r="N159" i="7"/>
  <c r="O159" i="7"/>
  <c r="P159" i="7"/>
  <c r="Q159" i="7"/>
  <c r="R159" i="7"/>
  <c r="S159" i="7"/>
  <c r="T159" i="7"/>
  <c r="U159" i="7"/>
  <c r="V159" i="7"/>
  <c r="Z159" i="7"/>
  <c r="AA159" i="7"/>
  <c r="AC159" i="7"/>
  <c r="K159" i="7"/>
  <c r="AE159" i="7"/>
  <c r="AF159" i="7"/>
  <c r="AH18" i="5"/>
  <c r="AZ133" i="5"/>
  <c r="AR87" i="5"/>
  <c r="AN114" i="5"/>
  <c r="AN111" i="5"/>
  <c r="AO110" i="5"/>
  <c r="AN110" i="5"/>
  <c r="AN87" i="5"/>
  <c r="AR77" i="5"/>
  <c r="AQ77" i="5"/>
  <c r="AP77" i="5"/>
  <c r="AO77" i="5"/>
  <c r="AN77" i="5"/>
  <c r="AN72" i="5"/>
  <c r="AR71" i="5"/>
  <c r="AQ71" i="5"/>
  <c r="AP71" i="5"/>
  <c r="AO71" i="5"/>
  <c r="AN71" i="5"/>
  <c r="AN33" i="5"/>
  <c r="AN32" i="5"/>
  <c r="AN31" i="5"/>
  <c r="AR30" i="5"/>
  <c r="AQ30" i="5"/>
  <c r="AP30" i="5"/>
  <c r="AO30" i="5"/>
  <c r="AN30" i="5"/>
  <c r="AN29" i="5"/>
  <c r="AR28" i="5"/>
  <c r="AN28" i="5"/>
  <c r="AR27" i="5"/>
  <c r="AN27" i="5"/>
  <c r="AR26" i="5"/>
  <c r="AO26" i="5"/>
  <c r="AN26" i="5"/>
  <c r="AW32" i="5"/>
  <c r="AW31" i="5"/>
  <c r="AY53" i="5"/>
  <c r="AW53" i="5"/>
  <c r="AY51" i="5"/>
  <c r="AW51" i="5"/>
  <c r="AZ29" i="5"/>
  <c r="AY29" i="5"/>
  <c r="AW29" i="5"/>
  <c r="AY28" i="5"/>
  <c r="AW28" i="5"/>
  <c r="AY47" i="5"/>
  <c r="AW47" i="5"/>
  <c r="BA98" i="5"/>
  <c r="AY27" i="5"/>
  <c r="AW27" i="5"/>
  <c r="AY45" i="5"/>
  <c r="AW45" i="5"/>
  <c r="BA94" i="5"/>
  <c r="AY94" i="5"/>
  <c r="BA87" i="5"/>
  <c r="AZ87" i="5"/>
  <c r="AY87" i="5"/>
  <c r="AW87" i="5"/>
  <c r="BA88" i="5"/>
  <c r="AY26" i="5"/>
  <c r="AW26" i="5"/>
  <c r="AY7" i="5"/>
  <c r="AY43" i="5"/>
  <c r="AW43" i="5"/>
  <c r="BA82" i="5"/>
  <c r="AZ82" i="5"/>
  <c r="AY82" i="5"/>
  <c r="AX82" i="5"/>
  <c r="AW44" i="5"/>
  <c r="BA159" i="5"/>
  <c r="AZ159" i="5"/>
  <c r="AY25" i="5"/>
  <c r="AW25" i="5"/>
  <c r="AY6" i="5"/>
  <c r="AW41" i="5"/>
  <c r="BA74" i="5"/>
  <c r="AZ74" i="5"/>
  <c r="AW42" i="5"/>
  <c r="BA84" i="5"/>
  <c r="AZ24" i="5"/>
  <c r="AY24" i="5"/>
  <c r="AW24" i="5"/>
  <c r="AZ110" i="5"/>
  <c r="AZ66" i="5"/>
  <c r="AY66" i="5"/>
  <c r="AX66" i="5"/>
  <c r="AW66" i="5"/>
  <c r="BA112" i="5"/>
  <c r="AX65" i="5"/>
  <c r="AW65" i="5"/>
  <c r="BA107" i="5"/>
  <c r="AW40" i="5"/>
  <c r="BA86" i="5"/>
  <c r="AZ86" i="5"/>
  <c r="AZ64" i="5"/>
  <c r="AY64" i="5"/>
  <c r="AX64" i="5"/>
  <c r="AW64" i="5"/>
  <c r="BA83" i="5"/>
  <c r="AW23" i="5"/>
  <c r="BA68" i="5"/>
  <c r="AZ68" i="5"/>
  <c r="AX68" i="5"/>
  <c r="AW68" i="5"/>
  <c r="BA63" i="5"/>
  <c r="AY63" i="5"/>
  <c r="AW63" i="5"/>
  <c r="AY81" i="5"/>
  <c r="BA119" i="5"/>
  <c r="AZ119" i="5"/>
  <c r="BA120" i="5"/>
  <c r="BA126" i="5"/>
  <c r="AY126" i="5"/>
  <c r="AX126" i="5"/>
  <c r="AW126" i="5"/>
  <c r="BA92" i="5"/>
  <c r="AZ92" i="5"/>
  <c r="AY92" i="5"/>
  <c r="AW38" i="5"/>
  <c r="BA114" i="5"/>
  <c r="AZ114" i="5"/>
  <c r="BA113" i="5"/>
  <c r="AZ113" i="5"/>
  <c r="AY113" i="5"/>
  <c r="BA127" i="5"/>
  <c r="AZ127" i="5"/>
  <c r="AY127" i="5"/>
  <c r="AX127" i="5"/>
  <c r="AW127" i="5"/>
  <c r="BA122" i="5"/>
  <c r="AZ122" i="5"/>
  <c r="AY122" i="5"/>
  <c r="AW122" i="5"/>
  <c r="AY123" i="5"/>
  <c r="BA97" i="5"/>
  <c r="AZ22" i="5"/>
  <c r="AY22" i="5"/>
  <c r="AW22" i="5"/>
  <c r="BA71" i="5"/>
  <c r="AZ71" i="5"/>
  <c r="AY71" i="5"/>
  <c r="AW36" i="5"/>
  <c r="BA133" i="5"/>
  <c r="AY133" i="5"/>
  <c r="AW133" i="5"/>
  <c r="AZ134" i="5"/>
  <c r="AY134" i="5"/>
  <c r="BA136" i="5"/>
  <c r="AZ136" i="5"/>
  <c r="AY136" i="5"/>
  <c r="AW136" i="5"/>
  <c r="AX90" i="5"/>
  <c r="AY95" i="5"/>
  <c r="AW95" i="5"/>
  <c r="AW158" i="5"/>
  <c r="BA91" i="5"/>
  <c r="AZ91" i="5"/>
  <c r="BA131" i="5"/>
  <c r="AZ131" i="5"/>
  <c r="BA70" i="5"/>
  <c r="AY70" i="5"/>
  <c r="AW70" i="5"/>
  <c r="K31" i="5"/>
  <c r="K30" i="5"/>
  <c r="K29" i="5"/>
  <c r="K28" i="5"/>
  <c r="K27" i="5"/>
  <c r="K26" i="5"/>
  <c r="K25" i="5"/>
  <c r="K24" i="5"/>
  <c r="K23" i="5"/>
  <c r="K22" i="5"/>
  <c r="X5" i="5"/>
  <c r="X6" i="5"/>
  <c r="AB154" i="5"/>
  <c r="Z154" i="5"/>
  <c r="V154" i="5"/>
  <c r="U154" i="5"/>
  <c r="T154" i="5"/>
  <c r="S154" i="5"/>
  <c r="R154" i="5"/>
  <c r="Q154" i="5"/>
  <c r="P154" i="5"/>
  <c r="O154" i="5"/>
  <c r="N154" i="5"/>
  <c r="M154" i="5"/>
  <c r="U150" i="5"/>
  <c r="T150" i="5"/>
  <c r="R150" i="5"/>
  <c r="Q150" i="5"/>
  <c r="P150" i="5"/>
  <c r="O150" i="5"/>
  <c r="N150" i="5"/>
  <c r="M150" i="5"/>
  <c r="L149" i="7"/>
  <c r="L148" i="7"/>
  <c r="V149" i="5"/>
  <c r="U149" i="5"/>
  <c r="T149" i="5"/>
  <c r="S149" i="5"/>
  <c r="R149" i="5"/>
  <c r="Q149" i="5"/>
  <c r="P149" i="5"/>
  <c r="O149" i="5"/>
  <c r="N149" i="5"/>
  <c r="M149" i="5"/>
  <c r="L149" i="5"/>
  <c r="V148" i="5"/>
  <c r="U148" i="5"/>
  <c r="T148" i="5"/>
  <c r="S148" i="5"/>
  <c r="R148" i="5"/>
  <c r="Q148" i="5"/>
  <c r="P148" i="5"/>
  <c r="O148" i="5"/>
  <c r="N148" i="5"/>
  <c r="M148" i="5"/>
  <c r="L148" i="5"/>
  <c r="V145" i="5"/>
  <c r="U145" i="5"/>
  <c r="T145" i="5"/>
  <c r="S145" i="5"/>
  <c r="R145" i="5"/>
  <c r="Q145" i="5"/>
  <c r="P145" i="5"/>
  <c r="O145" i="5"/>
  <c r="N145" i="5"/>
  <c r="M145" i="5"/>
  <c r="AF159" i="5"/>
  <c r="AE159" i="5"/>
  <c r="AF158" i="5"/>
  <c r="AE158" i="5"/>
  <c r="AE154" i="5"/>
  <c r="AG151" i="5"/>
  <c r="AE141" i="5"/>
  <c r="AH140" i="5"/>
  <c r="AG140" i="5"/>
  <c r="AF140" i="5"/>
  <c r="AE140" i="5"/>
  <c r="AH139" i="5"/>
  <c r="AG139" i="5"/>
  <c r="AF139" i="5"/>
  <c r="AE139" i="5"/>
  <c r="AH138" i="5"/>
  <c r="AG138" i="5"/>
  <c r="AF138" i="5"/>
  <c r="AE138" i="5"/>
  <c r="AH137" i="5"/>
  <c r="AF137" i="5"/>
  <c r="AE137" i="5"/>
  <c r="AH136" i="5"/>
  <c r="AG136" i="5"/>
  <c r="AE136" i="5"/>
  <c r="AE135" i="5"/>
  <c r="AF134" i="5"/>
  <c r="AE134" i="5"/>
  <c r="AH133" i="5"/>
  <c r="AF133" i="5"/>
  <c r="AE133" i="5"/>
  <c r="AF120" i="5"/>
  <c r="AE120" i="5"/>
  <c r="AG98" i="5"/>
  <c r="AF98" i="5"/>
  <c r="AE98" i="5"/>
  <c r="AG78" i="5"/>
  <c r="AF78" i="5"/>
  <c r="AE78" i="5"/>
  <c r="AF68" i="5"/>
  <c r="AE68" i="5"/>
  <c r="AH66" i="5"/>
  <c r="AH65" i="5"/>
  <c r="AH64" i="5"/>
  <c r="AH63" i="5"/>
  <c r="AG67" i="5"/>
  <c r="AG66" i="5"/>
  <c r="AG65" i="5"/>
  <c r="AG64" i="5"/>
  <c r="AG63" i="5"/>
  <c r="AF67" i="5"/>
  <c r="AF66" i="5"/>
  <c r="AF65" i="5"/>
  <c r="AF64" i="5"/>
  <c r="AF63" i="5"/>
  <c r="AE67" i="5"/>
  <c r="AE66" i="5"/>
  <c r="AE65" i="5"/>
  <c r="AE64" i="5"/>
  <c r="AE63" i="5"/>
  <c r="AE57" i="5"/>
  <c r="AE55" i="5"/>
  <c r="AE53" i="5"/>
  <c r="AE51" i="5"/>
  <c r="AE49" i="5"/>
  <c r="AE47" i="5"/>
  <c r="AE45" i="5"/>
  <c r="AE43" i="5"/>
  <c r="AE41" i="5"/>
  <c r="AE39" i="5"/>
  <c r="AE37" i="5"/>
  <c r="AE52" i="5"/>
  <c r="AG62" i="5"/>
  <c r="AG60" i="5"/>
  <c r="AG58" i="5"/>
  <c r="AG56" i="5"/>
  <c r="AG54" i="5"/>
  <c r="AG52" i="5"/>
  <c r="AG50" i="5"/>
  <c r="AG48" i="5"/>
  <c r="AG46" i="5"/>
  <c r="AG44" i="5"/>
  <c r="AG42" i="5"/>
  <c r="AG40" i="5"/>
  <c r="AE62" i="5"/>
  <c r="AE60" i="5"/>
  <c r="AE58" i="5"/>
  <c r="AE56" i="5"/>
  <c r="AE54" i="5"/>
  <c r="AE50" i="5"/>
  <c r="AE48" i="5"/>
  <c r="AE46" i="5"/>
  <c r="AE44" i="5"/>
  <c r="AE42" i="5"/>
  <c r="AE40" i="5"/>
  <c r="AE38" i="5"/>
  <c r="AE36" i="5"/>
  <c r="AH131" i="5"/>
  <c r="AG131" i="5"/>
  <c r="AF131" i="5"/>
  <c r="AE131" i="5"/>
  <c r="AF130" i="5"/>
  <c r="AE130" i="5"/>
  <c r="AF129" i="5"/>
  <c r="AE129" i="5"/>
  <c r="AH128" i="5"/>
  <c r="AG128" i="5"/>
  <c r="AF128" i="5"/>
  <c r="AE128" i="5"/>
  <c r="AE127" i="5"/>
  <c r="AH126" i="5"/>
  <c r="AG126" i="5"/>
  <c r="AF126" i="5"/>
  <c r="AE126" i="5"/>
  <c r="AE122" i="5"/>
  <c r="AF122" i="5"/>
  <c r="AF119" i="5"/>
  <c r="AE119" i="5"/>
  <c r="AG115" i="5"/>
  <c r="AF115" i="5"/>
  <c r="AE115" i="5"/>
  <c r="AG114" i="5"/>
  <c r="AF114" i="5"/>
  <c r="AE114" i="5"/>
  <c r="AF113" i="5"/>
  <c r="AE113" i="5"/>
  <c r="AF112" i="5"/>
  <c r="AE112" i="5"/>
  <c r="AF110" i="5"/>
  <c r="AH107" i="5"/>
  <c r="AG107" i="5"/>
  <c r="AF107" i="5"/>
  <c r="AE107" i="5"/>
  <c r="AH95" i="5"/>
  <c r="AG95" i="5"/>
  <c r="AE95" i="5"/>
  <c r="AH94" i="5"/>
  <c r="AG94" i="5"/>
  <c r="AF94" i="5"/>
  <c r="AE94" i="5"/>
  <c r="AF93" i="5"/>
  <c r="AE93" i="5"/>
  <c r="AH92" i="5"/>
  <c r="AF92" i="5"/>
  <c r="AG92" i="5"/>
  <c r="AE92" i="5"/>
  <c r="AH91" i="5"/>
  <c r="AG91" i="5"/>
  <c r="AF91" i="5"/>
  <c r="AE91" i="5"/>
  <c r="AF90" i="5"/>
  <c r="AE90" i="5"/>
  <c r="AH89" i="5"/>
  <c r="AF89" i="5"/>
  <c r="AF87" i="5"/>
  <c r="AE87" i="5"/>
  <c r="AG84" i="5"/>
  <c r="AF84" i="5"/>
  <c r="AE84" i="5"/>
  <c r="AF83" i="5"/>
  <c r="AE83" i="5"/>
  <c r="AF82" i="5"/>
  <c r="AE82" i="5"/>
  <c r="AG81" i="5"/>
  <c r="AF81" i="5"/>
  <c r="AE81" i="5"/>
  <c r="AF80" i="5"/>
  <c r="AE80" i="5"/>
  <c r="AG77" i="5"/>
  <c r="AF77" i="5"/>
  <c r="AE77" i="5"/>
  <c r="AF75" i="5"/>
  <c r="AF76" i="5"/>
  <c r="AE76" i="5"/>
  <c r="AE75" i="5"/>
  <c r="AG74" i="5"/>
  <c r="AF74" i="5"/>
  <c r="AE74" i="5"/>
  <c r="AE73" i="5"/>
  <c r="AF73" i="5"/>
  <c r="AF72" i="5"/>
  <c r="AE72" i="5"/>
  <c r="AH71" i="5"/>
  <c r="AG71" i="5"/>
  <c r="AF71" i="5"/>
  <c r="AE71" i="5"/>
  <c r="AG70" i="5"/>
  <c r="AE70" i="5"/>
  <c r="AH70" i="5"/>
  <c r="AF70" i="5"/>
  <c r="AE69" i="5"/>
  <c r="AG55" i="5"/>
  <c r="AG53" i="5"/>
  <c r="AG51" i="5"/>
  <c r="AG49" i="5"/>
  <c r="AG47" i="5"/>
  <c r="AG45" i="5"/>
  <c r="AG43" i="5"/>
  <c r="AG41" i="5"/>
  <c r="AG39" i="5"/>
  <c r="AV158" i="5"/>
  <c r="AU158" i="5"/>
  <c r="AT158" i="5"/>
  <c r="AS158" i="5"/>
  <c r="AV154" i="5"/>
  <c r="AV136" i="5"/>
  <c r="AT136" i="5"/>
  <c r="AS136" i="5"/>
  <c r="AV134" i="5"/>
  <c r="AT134" i="5"/>
  <c r="AV133" i="5"/>
  <c r="AU133" i="5"/>
  <c r="AT133" i="5"/>
  <c r="AS133" i="5"/>
  <c r="AT120" i="5"/>
  <c r="AT88" i="5"/>
  <c r="AV131" i="5"/>
  <c r="AU131" i="5"/>
  <c r="AT131" i="5"/>
  <c r="AS131" i="5"/>
  <c r="AV130" i="5"/>
  <c r="AT130" i="5"/>
  <c r="AV129" i="5"/>
  <c r="AV128" i="5"/>
  <c r="AV127" i="5"/>
  <c r="AU128" i="5"/>
  <c r="AT129" i="5"/>
  <c r="AT128" i="5"/>
  <c r="AT127" i="5"/>
  <c r="AS128" i="5"/>
  <c r="AS127" i="5"/>
  <c r="AV126" i="5"/>
  <c r="AT126" i="5"/>
  <c r="AV124" i="5"/>
  <c r="AT124" i="5"/>
  <c r="AV122" i="5"/>
  <c r="AT122" i="5"/>
  <c r="AV121" i="5"/>
  <c r="AU121" i="5"/>
  <c r="AT121" i="5"/>
  <c r="AS121" i="5"/>
  <c r="AV117" i="5"/>
  <c r="AU117" i="5"/>
  <c r="AT117" i="5"/>
  <c r="AS117" i="5"/>
  <c r="AV115" i="5"/>
  <c r="AU115" i="5"/>
  <c r="AT115" i="5"/>
  <c r="AS115" i="5"/>
  <c r="AV114" i="5"/>
  <c r="AT114" i="5"/>
  <c r="AV113" i="5"/>
  <c r="AT113" i="5"/>
  <c r="AV107" i="5"/>
  <c r="AU107" i="5"/>
  <c r="AT107" i="5"/>
  <c r="AS107" i="5"/>
  <c r="AU95" i="5"/>
  <c r="AT95" i="5"/>
  <c r="AV94" i="5"/>
  <c r="AT94" i="5"/>
  <c r="AS94" i="5"/>
  <c r="AV92" i="5"/>
  <c r="AU92" i="5"/>
  <c r="AT92" i="5"/>
  <c r="AV91" i="5"/>
  <c r="AU91" i="5"/>
  <c r="AT91" i="5"/>
  <c r="AS91" i="5"/>
  <c r="AT90" i="5"/>
  <c r="AV90" i="5"/>
  <c r="AU90" i="5"/>
  <c r="AS90" i="5"/>
  <c r="AS89" i="5"/>
  <c r="AV89" i="5"/>
  <c r="AT89" i="5"/>
  <c r="AT87" i="5"/>
  <c r="AV82" i="5"/>
  <c r="AT82" i="5"/>
  <c r="AT79" i="5"/>
  <c r="AT77" i="5"/>
  <c r="AT72" i="5"/>
  <c r="AV71" i="5"/>
  <c r="AU71" i="5"/>
  <c r="AT71" i="5"/>
  <c r="AS71" i="5"/>
  <c r="AT17" i="5"/>
  <c r="AV16" i="5"/>
  <c r="AU16" i="5"/>
  <c r="AT16" i="5"/>
  <c r="AV15" i="5"/>
  <c r="AU15" i="5"/>
  <c r="AT15" i="5"/>
  <c r="AV14" i="5"/>
  <c r="AU14" i="5"/>
  <c r="AT14" i="5"/>
  <c r="AS14" i="5"/>
  <c r="AV13" i="5"/>
  <c r="AU13" i="5"/>
  <c r="AT13" i="5"/>
  <c r="AS13" i="5"/>
  <c r="AV12" i="5"/>
  <c r="AU12" i="5"/>
  <c r="AT12" i="5"/>
  <c r="AS12" i="5"/>
  <c r="AV11" i="5"/>
  <c r="AU11" i="5"/>
  <c r="AT11" i="5"/>
  <c r="AS11" i="5"/>
  <c r="AV10" i="5"/>
  <c r="AU10" i="5"/>
  <c r="AT10" i="5"/>
  <c r="AS10" i="5"/>
  <c r="AV9" i="5"/>
  <c r="AU9" i="5"/>
  <c r="AT9" i="5"/>
  <c r="AS9" i="5"/>
  <c r="AV8" i="5"/>
  <c r="AU8" i="5"/>
  <c r="AT8" i="5"/>
  <c r="AS8" i="5"/>
  <c r="AV7" i="5"/>
  <c r="AU7" i="5"/>
  <c r="AT7" i="5"/>
  <c r="AS7" i="5"/>
  <c r="AU6" i="5"/>
  <c r="AT6" i="5"/>
  <c r="AS6" i="5"/>
  <c r="AV5" i="5"/>
  <c r="AU5" i="5"/>
  <c r="AT5" i="5"/>
  <c r="AS5" i="5"/>
  <c r="AV4" i="5"/>
  <c r="AU4" i="5"/>
  <c r="AT4" i="5"/>
  <c r="AS4" i="5"/>
  <c r="AV34" i="5"/>
  <c r="AS34" i="5"/>
  <c r="AV33" i="5"/>
  <c r="AU33" i="5"/>
  <c r="AS33" i="5"/>
  <c r="AV32" i="5"/>
  <c r="AU32" i="5"/>
  <c r="AS32" i="5"/>
  <c r="AV31" i="5"/>
  <c r="AU31" i="5"/>
  <c r="AT31" i="5"/>
  <c r="AS31" i="5"/>
  <c r="AV30" i="5"/>
  <c r="AU30" i="5"/>
  <c r="AT30" i="5"/>
  <c r="AS30" i="5"/>
  <c r="AV29" i="5"/>
  <c r="AU29" i="5"/>
  <c r="AT29" i="5"/>
  <c r="AS29" i="5"/>
  <c r="AV28" i="5"/>
  <c r="AU28" i="5"/>
  <c r="AT28" i="5"/>
  <c r="AS28" i="5"/>
  <c r="AV27" i="5"/>
  <c r="AU27" i="5"/>
  <c r="AT27" i="5"/>
  <c r="AS27" i="5"/>
  <c r="AV26" i="5"/>
  <c r="AU26" i="5"/>
  <c r="AT26" i="5"/>
  <c r="AS26" i="5"/>
  <c r="AV25" i="5"/>
  <c r="AU25" i="5"/>
  <c r="AT25" i="5"/>
  <c r="AS25" i="5"/>
  <c r="AV24" i="5"/>
  <c r="AU24" i="5"/>
  <c r="AT24" i="5"/>
  <c r="AS24" i="5"/>
  <c r="AV23" i="5"/>
  <c r="AU23" i="5"/>
  <c r="AT23" i="5"/>
  <c r="AS23" i="5"/>
  <c r="AV22" i="5"/>
  <c r="AU22" i="5"/>
  <c r="AT22" i="5"/>
  <c r="AS22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G15" i="5"/>
  <c r="AG14" i="5"/>
  <c r="AG13" i="5"/>
  <c r="AG12" i="5"/>
  <c r="AG11" i="5"/>
  <c r="AG10" i="5"/>
  <c r="AG9" i="5"/>
  <c r="AG8" i="5"/>
  <c r="AG7" i="5"/>
  <c r="AG6" i="5"/>
  <c r="AG5" i="5"/>
  <c r="AG4" i="5"/>
  <c r="AF11" i="5"/>
  <c r="AF10" i="5"/>
  <c r="AF9" i="5"/>
  <c r="AF8" i="5"/>
  <c r="AF7" i="5"/>
  <c r="AF6" i="5"/>
  <c r="AF5" i="5"/>
  <c r="AF4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V147" i="5"/>
  <c r="U147" i="5"/>
  <c r="T147" i="5"/>
  <c r="S147" i="5"/>
  <c r="R147" i="5"/>
  <c r="Q147" i="5"/>
  <c r="P147" i="5"/>
  <c r="O147" i="5"/>
  <c r="N147" i="5"/>
  <c r="M147" i="5"/>
  <c r="AA141" i="5"/>
  <c r="AA140" i="5"/>
  <c r="AA139" i="5"/>
  <c r="U138" i="5"/>
  <c r="T138" i="5"/>
  <c r="S138" i="5"/>
  <c r="Q138" i="5"/>
  <c r="AC136" i="5"/>
  <c r="AB136" i="5"/>
  <c r="AA136" i="5"/>
  <c r="Z136" i="5"/>
  <c r="V136" i="5"/>
  <c r="U136" i="5"/>
  <c r="T136" i="5"/>
  <c r="S136" i="5"/>
  <c r="R136" i="5"/>
  <c r="Q136" i="5"/>
  <c r="P136" i="5"/>
  <c r="O136" i="5"/>
  <c r="N136" i="5"/>
  <c r="M136" i="5"/>
  <c r="AC135" i="5"/>
  <c r="AA135" i="5"/>
  <c r="Z135" i="5"/>
  <c r="V135" i="5"/>
  <c r="U135" i="5"/>
  <c r="T135" i="5"/>
  <c r="S135" i="5"/>
  <c r="R135" i="5"/>
  <c r="Q135" i="5"/>
  <c r="P135" i="5"/>
  <c r="O135" i="5"/>
  <c r="N135" i="5"/>
  <c r="M135" i="5"/>
  <c r="L135" i="5"/>
  <c r="L135" i="7"/>
  <c r="AC134" i="5"/>
  <c r="AA134" i="5"/>
  <c r="Z134" i="5"/>
  <c r="V134" i="5"/>
  <c r="U134" i="5"/>
  <c r="T134" i="5"/>
  <c r="S134" i="5"/>
  <c r="R134" i="5"/>
  <c r="Q134" i="5"/>
  <c r="P134" i="5"/>
  <c r="O134" i="5"/>
  <c r="N134" i="5"/>
  <c r="M134" i="5"/>
  <c r="AC133" i="5"/>
  <c r="AB133" i="5"/>
  <c r="AA133" i="5"/>
  <c r="Z133" i="5"/>
  <c r="V133" i="5"/>
  <c r="U133" i="5"/>
  <c r="T133" i="5"/>
  <c r="S133" i="5"/>
  <c r="R133" i="5"/>
  <c r="Q133" i="5"/>
  <c r="P133" i="5"/>
  <c r="O133" i="5"/>
  <c r="N133" i="5"/>
  <c r="M133" i="5"/>
  <c r="L133" i="5"/>
  <c r="L133" i="7"/>
  <c r="V123" i="5"/>
  <c r="U123" i="5"/>
  <c r="T123" i="5"/>
  <c r="S123" i="5"/>
  <c r="R123" i="5"/>
  <c r="Q123" i="5"/>
  <c r="P123" i="5"/>
  <c r="O123" i="5"/>
  <c r="N123" i="5"/>
  <c r="M123" i="5"/>
  <c r="AC120" i="5"/>
  <c r="AA120" i="5"/>
  <c r="V120" i="5"/>
  <c r="U120" i="5"/>
  <c r="T120" i="5"/>
  <c r="S120" i="5"/>
  <c r="R120" i="5"/>
  <c r="Q120" i="5"/>
  <c r="P120" i="5"/>
  <c r="O120" i="5"/>
  <c r="N120" i="5"/>
  <c r="M120" i="5"/>
  <c r="AC118" i="5"/>
  <c r="AA118" i="5"/>
  <c r="V118" i="5"/>
  <c r="U118" i="5"/>
  <c r="T118" i="5"/>
  <c r="S118" i="5"/>
  <c r="R118" i="5"/>
  <c r="Q118" i="5"/>
  <c r="P118" i="5"/>
  <c r="O118" i="5"/>
  <c r="N118" i="5"/>
  <c r="M118" i="5"/>
  <c r="AC159" i="5"/>
  <c r="AA159" i="5"/>
  <c r="Z159" i="5"/>
  <c r="V159" i="5"/>
  <c r="U159" i="5"/>
  <c r="T159" i="5"/>
  <c r="S159" i="5"/>
  <c r="R159" i="5"/>
  <c r="Q159" i="5"/>
  <c r="P159" i="5"/>
  <c r="O159" i="5"/>
  <c r="N159" i="5"/>
  <c r="M159" i="5"/>
  <c r="AC158" i="5"/>
  <c r="AA158" i="5"/>
  <c r="Z158" i="5"/>
  <c r="V158" i="5"/>
  <c r="U158" i="5"/>
  <c r="T158" i="5"/>
  <c r="S158" i="5"/>
  <c r="R158" i="5"/>
  <c r="Q158" i="5"/>
  <c r="P158" i="5"/>
  <c r="O158" i="5"/>
  <c r="N158" i="5"/>
  <c r="M158" i="5"/>
  <c r="V106" i="5"/>
  <c r="S106" i="5"/>
  <c r="P106" i="5"/>
  <c r="N106" i="5"/>
  <c r="S102" i="5"/>
  <c r="Q102" i="5"/>
  <c r="P102" i="5"/>
  <c r="AC98" i="5"/>
  <c r="AA98" i="5"/>
  <c r="Z98" i="5"/>
  <c r="V98" i="5"/>
  <c r="U98" i="5"/>
  <c r="T98" i="5"/>
  <c r="S98" i="5"/>
  <c r="R98" i="5"/>
  <c r="Q98" i="5"/>
  <c r="P98" i="5"/>
  <c r="O98" i="5"/>
  <c r="N98" i="5"/>
  <c r="M98" i="5"/>
  <c r="AA97" i="5"/>
  <c r="V97" i="5"/>
  <c r="U97" i="5"/>
  <c r="T97" i="5"/>
  <c r="S97" i="5"/>
  <c r="R97" i="5"/>
  <c r="Q97" i="5"/>
  <c r="P97" i="5"/>
  <c r="O97" i="5"/>
  <c r="N97" i="5"/>
  <c r="M97" i="5"/>
  <c r="AC88" i="5"/>
  <c r="Z88" i="5"/>
  <c r="V88" i="5"/>
  <c r="U88" i="5"/>
  <c r="T88" i="5"/>
  <c r="S88" i="5"/>
  <c r="R88" i="5"/>
  <c r="Q88" i="5"/>
  <c r="P88" i="5"/>
  <c r="O88" i="5"/>
  <c r="N88" i="5"/>
  <c r="M88" i="5"/>
  <c r="L95" i="5"/>
  <c r="U78" i="5"/>
  <c r="S78" i="5"/>
  <c r="O78" i="5"/>
  <c r="M78" i="5"/>
  <c r="AC68" i="5"/>
  <c r="AB68" i="5"/>
  <c r="AA68" i="5"/>
  <c r="Z68" i="5"/>
  <c r="V68" i="5"/>
  <c r="U68" i="5"/>
  <c r="T68" i="5"/>
  <c r="S68" i="5"/>
  <c r="R68" i="5"/>
  <c r="Q68" i="5"/>
  <c r="P68" i="5"/>
  <c r="O68" i="5"/>
  <c r="N68" i="5"/>
  <c r="M68" i="5"/>
  <c r="AC67" i="5"/>
  <c r="AD66" i="5"/>
  <c r="AC66" i="5"/>
  <c r="AB66" i="5"/>
  <c r="AA66" i="5"/>
  <c r="Z66" i="5"/>
  <c r="V66" i="5"/>
  <c r="U66" i="5"/>
  <c r="T66" i="5"/>
  <c r="S66" i="5"/>
  <c r="R66" i="5"/>
  <c r="Q66" i="5"/>
  <c r="P66" i="5"/>
  <c r="O66" i="5"/>
  <c r="N66" i="5"/>
  <c r="M66" i="5"/>
  <c r="L66" i="5"/>
  <c r="AD65" i="5"/>
  <c r="AC65" i="5"/>
  <c r="AB65" i="5"/>
  <c r="AA65" i="5"/>
  <c r="Z65" i="5"/>
  <c r="V65" i="5"/>
  <c r="U65" i="5"/>
  <c r="T65" i="5"/>
  <c r="S65" i="5"/>
  <c r="R65" i="5"/>
  <c r="Q65" i="5"/>
  <c r="P65" i="5"/>
  <c r="O65" i="5"/>
  <c r="N65" i="5"/>
  <c r="M65" i="5"/>
  <c r="L65" i="5"/>
  <c r="AD64" i="5"/>
  <c r="AC64" i="5"/>
  <c r="AB64" i="5"/>
  <c r="AA64" i="5"/>
  <c r="Z64" i="5"/>
  <c r="V64" i="5"/>
  <c r="U64" i="5"/>
  <c r="T64" i="5"/>
  <c r="S64" i="5"/>
  <c r="R64" i="5"/>
  <c r="Q64" i="5"/>
  <c r="P64" i="5"/>
  <c r="O64" i="5"/>
  <c r="N64" i="5"/>
  <c r="M64" i="5"/>
  <c r="L64" i="5"/>
  <c r="AD63" i="5"/>
  <c r="AC63" i="5"/>
  <c r="AB63" i="5"/>
  <c r="AA63" i="5"/>
  <c r="Z63" i="5"/>
  <c r="V63" i="5"/>
  <c r="U63" i="5"/>
  <c r="T63" i="5"/>
  <c r="S63" i="5"/>
  <c r="R63" i="5"/>
  <c r="Q63" i="5"/>
  <c r="P63" i="5"/>
  <c r="O63" i="5"/>
  <c r="N63" i="5"/>
  <c r="M63" i="5"/>
  <c r="L63" i="5"/>
  <c r="L66" i="7"/>
  <c r="L65" i="7"/>
  <c r="L64" i="7"/>
  <c r="L63" i="7"/>
  <c r="AA62" i="5"/>
  <c r="U62" i="5"/>
  <c r="T62" i="5"/>
  <c r="S62" i="5"/>
  <c r="R62" i="5"/>
  <c r="Q62" i="5"/>
  <c r="P62" i="5"/>
  <c r="O62" i="5"/>
  <c r="N62" i="5"/>
  <c r="M62" i="5"/>
  <c r="AA60" i="5"/>
  <c r="U60" i="5"/>
  <c r="T60" i="5"/>
  <c r="S60" i="5"/>
  <c r="R60" i="5"/>
  <c r="Q60" i="5"/>
  <c r="P60" i="5"/>
  <c r="O60" i="5"/>
  <c r="N60" i="5"/>
  <c r="M60" i="5"/>
  <c r="AA58" i="5"/>
  <c r="U58" i="5"/>
  <c r="T58" i="5"/>
  <c r="S58" i="5"/>
  <c r="R58" i="5"/>
  <c r="Q58" i="5"/>
  <c r="P58" i="5"/>
  <c r="O58" i="5"/>
  <c r="N58" i="5"/>
  <c r="M58" i="5"/>
  <c r="AA56" i="5"/>
  <c r="U56" i="5"/>
  <c r="T56" i="5"/>
  <c r="S56" i="5"/>
  <c r="R56" i="5"/>
  <c r="Q56" i="5"/>
  <c r="P56" i="5"/>
  <c r="O56" i="5"/>
  <c r="N56" i="5"/>
  <c r="M56" i="5"/>
  <c r="AA54" i="5"/>
  <c r="U54" i="5"/>
  <c r="T54" i="5"/>
  <c r="S54" i="5"/>
  <c r="R54" i="5"/>
  <c r="Q54" i="5"/>
  <c r="P54" i="5"/>
  <c r="O54" i="5"/>
  <c r="N54" i="5"/>
  <c r="M54" i="5"/>
  <c r="AA52" i="5"/>
  <c r="U52" i="5"/>
  <c r="T52" i="5"/>
  <c r="S52" i="5"/>
  <c r="R52" i="5"/>
  <c r="Q52" i="5"/>
  <c r="P52" i="5"/>
  <c r="O52" i="5"/>
  <c r="N52" i="5"/>
  <c r="M52" i="5"/>
  <c r="AA50" i="5"/>
  <c r="Z50" i="5"/>
  <c r="U50" i="5"/>
  <c r="T50" i="5"/>
  <c r="S50" i="5"/>
  <c r="R50" i="5"/>
  <c r="Q50" i="5"/>
  <c r="P50" i="5"/>
  <c r="O50" i="5"/>
  <c r="N50" i="5"/>
  <c r="M50" i="5"/>
  <c r="AC48" i="5"/>
  <c r="AA48" i="5"/>
  <c r="Z48" i="5"/>
  <c r="U48" i="5"/>
  <c r="T48" i="5"/>
  <c r="S48" i="5"/>
  <c r="R48" i="5"/>
  <c r="Q48" i="5"/>
  <c r="P48" i="5"/>
  <c r="O48" i="5"/>
  <c r="N48" i="5"/>
  <c r="M48" i="5"/>
  <c r="AC46" i="5"/>
  <c r="AA46" i="5"/>
  <c r="Z46" i="5"/>
  <c r="U46" i="5"/>
  <c r="T46" i="5"/>
  <c r="S46" i="5"/>
  <c r="R46" i="5"/>
  <c r="Q46" i="5"/>
  <c r="P46" i="5"/>
  <c r="O46" i="5"/>
  <c r="N46" i="5"/>
  <c r="M46" i="5"/>
  <c r="AC44" i="5"/>
  <c r="AA44" i="5"/>
  <c r="Z44" i="5"/>
  <c r="U44" i="5"/>
  <c r="T44" i="5"/>
  <c r="S44" i="5"/>
  <c r="R44" i="5"/>
  <c r="Q44" i="5"/>
  <c r="P44" i="5"/>
  <c r="O44" i="5"/>
  <c r="N44" i="5"/>
  <c r="M44" i="5"/>
  <c r="AC42" i="5"/>
  <c r="AA42" i="5"/>
  <c r="Z42" i="5"/>
  <c r="U42" i="5"/>
  <c r="T42" i="5"/>
  <c r="S42" i="5"/>
  <c r="R42" i="5"/>
  <c r="Q42" i="5"/>
  <c r="P42" i="5"/>
  <c r="O42" i="5"/>
  <c r="N42" i="5"/>
  <c r="M42" i="5"/>
  <c r="AC40" i="5"/>
  <c r="AA40" i="5"/>
  <c r="U40" i="5"/>
  <c r="T40" i="5"/>
  <c r="S40" i="5"/>
  <c r="R40" i="5"/>
  <c r="Q40" i="5"/>
  <c r="P40" i="5"/>
  <c r="O40" i="5"/>
  <c r="N40" i="5"/>
  <c r="M40" i="5"/>
  <c r="AC38" i="5"/>
  <c r="AA38" i="5"/>
  <c r="U38" i="5"/>
  <c r="T38" i="5"/>
  <c r="S38" i="5"/>
  <c r="R38" i="5"/>
  <c r="Q38" i="5"/>
  <c r="P38" i="5"/>
  <c r="O38" i="5"/>
  <c r="N38" i="5"/>
  <c r="M38" i="5"/>
  <c r="AC36" i="5"/>
  <c r="U36" i="5"/>
  <c r="T36" i="5"/>
  <c r="S36" i="5"/>
  <c r="R36" i="5"/>
  <c r="Q36" i="5"/>
  <c r="P36" i="5"/>
  <c r="O36" i="5"/>
  <c r="N36" i="5"/>
  <c r="M36" i="5"/>
  <c r="V132" i="5"/>
  <c r="T132" i="5"/>
  <c r="S132" i="5"/>
  <c r="R132" i="5"/>
  <c r="Q132" i="5"/>
  <c r="P132" i="5"/>
  <c r="O132" i="5"/>
  <c r="N132" i="5"/>
  <c r="M132" i="5"/>
  <c r="X131" i="5"/>
  <c r="W131" i="5"/>
  <c r="AC131" i="5"/>
  <c r="AA131" i="5"/>
  <c r="Z131" i="5"/>
  <c r="V131" i="5"/>
  <c r="U131" i="5"/>
  <c r="T131" i="5"/>
  <c r="S131" i="5"/>
  <c r="R131" i="5"/>
  <c r="Q131" i="5"/>
  <c r="O131" i="5"/>
  <c r="N131" i="5"/>
  <c r="M131" i="5"/>
  <c r="X130" i="5"/>
  <c r="W130" i="5"/>
  <c r="AC130" i="5"/>
  <c r="AA130" i="5"/>
  <c r="V130" i="5"/>
  <c r="U130" i="5"/>
  <c r="T130" i="5"/>
  <c r="S130" i="5"/>
  <c r="R130" i="5"/>
  <c r="Q130" i="5"/>
  <c r="P130" i="5"/>
  <c r="N130" i="5"/>
  <c r="M130" i="5"/>
  <c r="X126" i="5"/>
  <c r="W126" i="5"/>
  <c r="AC126" i="5"/>
  <c r="AB126" i="5"/>
  <c r="AA126" i="5"/>
  <c r="Z126" i="5"/>
  <c r="V126" i="5"/>
  <c r="U126" i="5"/>
  <c r="T126" i="5"/>
  <c r="S126" i="5"/>
  <c r="R126" i="5"/>
  <c r="Q126" i="5"/>
  <c r="P126" i="5"/>
  <c r="O126" i="5"/>
  <c r="N126" i="5"/>
  <c r="M126" i="5"/>
  <c r="X129" i="5"/>
  <c r="W129" i="5"/>
  <c r="AA129" i="5"/>
  <c r="V129" i="5"/>
  <c r="U129" i="5"/>
  <c r="T129" i="5"/>
  <c r="S129" i="5"/>
  <c r="R129" i="5"/>
  <c r="Q129" i="5"/>
  <c r="P129" i="5"/>
  <c r="O129" i="5"/>
  <c r="N129" i="5"/>
  <c r="M129" i="5"/>
  <c r="X128" i="5"/>
  <c r="W128" i="5"/>
  <c r="AC128" i="5"/>
  <c r="AA128" i="5"/>
  <c r="Z128" i="5"/>
  <c r="V128" i="5"/>
  <c r="U128" i="5"/>
  <c r="T128" i="5"/>
  <c r="R128" i="5"/>
  <c r="Q128" i="5"/>
  <c r="P128" i="5"/>
  <c r="O128" i="5"/>
  <c r="N128" i="5"/>
  <c r="M128" i="5"/>
  <c r="X127" i="5"/>
  <c r="W127" i="5"/>
  <c r="AA127" i="5"/>
  <c r="V127" i="5"/>
  <c r="S127" i="5"/>
  <c r="R127" i="5"/>
  <c r="P127" i="5"/>
  <c r="O127" i="5"/>
  <c r="N127" i="5"/>
  <c r="M127" i="5"/>
  <c r="X125" i="5"/>
  <c r="W125" i="5"/>
  <c r="AA125" i="5"/>
  <c r="Z125" i="5"/>
  <c r="X124" i="5"/>
  <c r="W124" i="5"/>
  <c r="AB124" i="5"/>
  <c r="AA124" i="5"/>
  <c r="Z124" i="5"/>
  <c r="X122" i="5"/>
  <c r="W122" i="5"/>
  <c r="AC122" i="5"/>
  <c r="AB122" i="5"/>
  <c r="AA122" i="5"/>
  <c r="Z122" i="5"/>
  <c r="V122" i="5"/>
  <c r="U122" i="5"/>
  <c r="T122" i="5"/>
  <c r="S122" i="5"/>
  <c r="R122" i="5"/>
  <c r="Q122" i="5"/>
  <c r="P122" i="5"/>
  <c r="O122" i="5"/>
  <c r="N122" i="5"/>
  <c r="M122" i="5"/>
  <c r="X121" i="5"/>
  <c r="W121" i="5"/>
  <c r="AC121" i="5"/>
  <c r="AA121" i="5"/>
  <c r="Z121" i="5"/>
  <c r="V121" i="5"/>
  <c r="U121" i="5"/>
  <c r="T121" i="5"/>
  <c r="S121" i="5"/>
  <c r="Q121" i="5"/>
  <c r="P121" i="5"/>
  <c r="O121" i="5"/>
  <c r="N121" i="5"/>
  <c r="M121" i="5"/>
  <c r="X119" i="5"/>
  <c r="W119" i="5"/>
  <c r="AC119" i="5"/>
  <c r="AB119" i="5"/>
  <c r="AA119" i="5"/>
  <c r="V119" i="5"/>
  <c r="U119" i="5"/>
  <c r="T119" i="5"/>
  <c r="S119" i="5"/>
  <c r="R119" i="5"/>
  <c r="Q119" i="5"/>
  <c r="P119" i="5"/>
  <c r="O119" i="5"/>
  <c r="N119" i="5"/>
  <c r="M119" i="5"/>
  <c r="X117" i="5"/>
  <c r="W117" i="5"/>
  <c r="AC117" i="5"/>
  <c r="AA117" i="5"/>
  <c r="Z117" i="5"/>
  <c r="V117" i="5"/>
  <c r="T117" i="5"/>
  <c r="Q117" i="5"/>
  <c r="N117" i="5"/>
  <c r="M117" i="5"/>
  <c r="X116" i="5"/>
  <c r="W116" i="5"/>
  <c r="AC116" i="5"/>
  <c r="AA116" i="5"/>
  <c r="Z116" i="5"/>
  <c r="O116" i="5"/>
  <c r="N116" i="5"/>
  <c r="M116" i="5"/>
  <c r="X115" i="5"/>
  <c r="W115" i="5"/>
  <c r="AC115" i="5"/>
  <c r="AA115" i="5"/>
  <c r="Z115" i="5"/>
  <c r="V115" i="5"/>
  <c r="U115" i="5"/>
  <c r="T115" i="5"/>
  <c r="S115" i="5"/>
  <c r="R115" i="5"/>
  <c r="Q115" i="5"/>
  <c r="P115" i="5"/>
  <c r="O115" i="5"/>
  <c r="N115" i="5"/>
  <c r="M115" i="5"/>
  <c r="X114" i="5"/>
  <c r="W114" i="5"/>
  <c r="AC114" i="5"/>
  <c r="AA114" i="5"/>
  <c r="Z114" i="5"/>
  <c r="V114" i="5"/>
  <c r="U114" i="5"/>
  <c r="T114" i="5"/>
  <c r="S114" i="5"/>
  <c r="R114" i="5"/>
  <c r="Q114" i="5"/>
  <c r="P114" i="5"/>
  <c r="O114" i="5"/>
  <c r="N114" i="5"/>
  <c r="M114" i="5"/>
  <c r="X113" i="5"/>
  <c r="W113" i="5"/>
  <c r="AA113" i="5"/>
  <c r="V113" i="5"/>
  <c r="U113" i="5"/>
  <c r="T113" i="5"/>
  <c r="S113" i="5"/>
  <c r="R113" i="5"/>
  <c r="Q113" i="5"/>
  <c r="P113" i="5"/>
  <c r="O113" i="5"/>
  <c r="N113" i="5"/>
  <c r="M113" i="5"/>
  <c r="V112" i="5"/>
  <c r="U112" i="5"/>
  <c r="S112" i="5"/>
  <c r="R112" i="5"/>
  <c r="Q112" i="5"/>
  <c r="P112" i="5"/>
  <c r="O112" i="5"/>
  <c r="N112" i="5"/>
  <c r="M112" i="5"/>
  <c r="X111" i="5"/>
  <c r="W111" i="5"/>
  <c r="AC111" i="5"/>
  <c r="AA111" i="5"/>
  <c r="V111" i="5"/>
  <c r="U111" i="5"/>
  <c r="T111" i="5"/>
  <c r="S111" i="5"/>
  <c r="R111" i="5"/>
  <c r="Q111" i="5"/>
  <c r="P111" i="5"/>
  <c r="O111" i="5"/>
  <c r="N111" i="5"/>
  <c r="M111" i="5"/>
  <c r="X110" i="5"/>
  <c r="W110" i="5"/>
  <c r="AA110" i="5"/>
  <c r="Z110" i="5"/>
  <c r="V110" i="5"/>
  <c r="U110" i="5"/>
  <c r="T110" i="5"/>
  <c r="S110" i="5"/>
  <c r="R110" i="5"/>
  <c r="Q110" i="5"/>
  <c r="P110" i="5"/>
  <c r="O110" i="5"/>
  <c r="N110" i="5"/>
  <c r="M110" i="5"/>
  <c r="Y107" i="5"/>
  <c r="X107" i="5"/>
  <c r="W107" i="5"/>
  <c r="AA107" i="5"/>
  <c r="V107" i="5"/>
  <c r="U107" i="5"/>
  <c r="T107" i="5"/>
  <c r="S107" i="5"/>
  <c r="R107" i="5"/>
  <c r="Q107" i="5"/>
  <c r="P107" i="5"/>
  <c r="O107" i="5"/>
  <c r="N107" i="5"/>
  <c r="M107" i="5"/>
  <c r="V95" i="5"/>
  <c r="U95" i="5"/>
  <c r="T95" i="5"/>
  <c r="S95" i="5"/>
  <c r="R95" i="5"/>
  <c r="Q95" i="5"/>
  <c r="P95" i="5"/>
  <c r="O95" i="5"/>
  <c r="N95" i="5"/>
  <c r="M95" i="5"/>
  <c r="L95" i="7"/>
  <c r="X94" i="5"/>
  <c r="W94" i="5"/>
  <c r="AD94" i="5"/>
  <c r="AC94" i="5"/>
  <c r="AB94" i="5"/>
  <c r="AA94" i="5"/>
  <c r="Z94" i="5"/>
  <c r="U94" i="5"/>
  <c r="T94" i="5"/>
  <c r="S94" i="5"/>
  <c r="Q94" i="5"/>
  <c r="P94" i="5"/>
  <c r="O94" i="5"/>
  <c r="N94" i="5"/>
  <c r="M94" i="5"/>
  <c r="AA93" i="5"/>
  <c r="X92" i="5"/>
  <c r="W92" i="5"/>
  <c r="AC92" i="5"/>
  <c r="V92" i="5"/>
  <c r="U92" i="5"/>
  <c r="T92" i="5"/>
  <c r="S92" i="5"/>
  <c r="R92" i="5"/>
  <c r="Q92" i="5"/>
  <c r="P92" i="5"/>
  <c r="O92" i="5"/>
  <c r="N92" i="5"/>
  <c r="M92" i="5"/>
  <c r="X91" i="5"/>
  <c r="W91" i="5"/>
  <c r="AC91" i="5"/>
  <c r="AA91" i="5"/>
  <c r="Z91" i="5"/>
  <c r="V91" i="5"/>
  <c r="U91" i="5"/>
  <c r="T91" i="5"/>
  <c r="S91" i="5"/>
  <c r="R91" i="5"/>
  <c r="Q91" i="5"/>
  <c r="P91" i="5"/>
  <c r="O91" i="5"/>
  <c r="N91" i="5"/>
  <c r="M91" i="5"/>
  <c r="X90" i="5"/>
  <c r="W90" i="5"/>
  <c r="AC90" i="5"/>
  <c r="AA90" i="5"/>
  <c r="Z90" i="5"/>
  <c r="V90" i="5"/>
  <c r="U90" i="5"/>
  <c r="T90" i="5"/>
  <c r="S90" i="5"/>
  <c r="R90" i="5"/>
  <c r="Q90" i="5"/>
  <c r="P90" i="5"/>
  <c r="O90" i="5"/>
  <c r="N90" i="5"/>
  <c r="M90" i="5"/>
  <c r="AD89" i="5"/>
  <c r="AC89" i="5"/>
  <c r="AB89" i="5"/>
  <c r="AA89" i="5"/>
  <c r="Z89" i="5"/>
  <c r="V89" i="5"/>
  <c r="U89" i="5"/>
  <c r="T89" i="5"/>
  <c r="S89" i="5"/>
  <c r="R89" i="5"/>
  <c r="Q89" i="5"/>
  <c r="P89" i="5"/>
  <c r="O89" i="5"/>
  <c r="N89" i="5"/>
  <c r="M89" i="5"/>
  <c r="X87" i="5"/>
  <c r="AC87" i="5"/>
  <c r="AB87" i="5"/>
  <c r="AA87" i="5"/>
  <c r="Z87" i="5"/>
  <c r="V87" i="5"/>
  <c r="U87" i="5"/>
  <c r="T87" i="5"/>
  <c r="S87" i="5"/>
  <c r="R87" i="5"/>
  <c r="Q87" i="5"/>
  <c r="P87" i="5"/>
  <c r="O87" i="5"/>
  <c r="N87" i="5"/>
  <c r="M87" i="5"/>
  <c r="X86" i="5"/>
  <c r="W86" i="5"/>
  <c r="AC86" i="5"/>
  <c r="AA86" i="5"/>
  <c r="Z86" i="5"/>
  <c r="V86" i="5"/>
  <c r="U86" i="5"/>
  <c r="T86" i="5"/>
  <c r="S86" i="5"/>
  <c r="R86" i="5"/>
  <c r="Q86" i="5"/>
  <c r="P86" i="5"/>
  <c r="O86" i="5"/>
  <c r="N86" i="5"/>
  <c r="M86" i="5"/>
  <c r="U84" i="5"/>
  <c r="T84" i="5"/>
  <c r="S84" i="5"/>
  <c r="O84" i="5"/>
  <c r="N84" i="5"/>
  <c r="X83" i="5"/>
  <c r="W83" i="5"/>
  <c r="AA83" i="5"/>
  <c r="Z83" i="5"/>
  <c r="V83" i="5"/>
  <c r="U83" i="5"/>
  <c r="T83" i="5"/>
  <c r="S83" i="5"/>
  <c r="R83" i="5"/>
  <c r="Q83" i="5"/>
  <c r="P83" i="5"/>
  <c r="O83" i="5"/>
  <c r="N83" i="5"/>
  <c r="X82" i="5"/>
  <c r="W82" i="5"/>
  <c r="AA82" i="5"/>
  <c r="V82" i="5"/>
  <c r="U82" i="5"/>
  <c r="T82" i="5"/>
  <c r="S82" i="5"/>
  <c r="R82" i="5"/>
  <c r="Q82" i="5"/>
  <c r="P82" i="5"/>
  <c r="O82" i="5"/>
  <c r="N82" i="5"/>
  <c r="M82" i="5"/>
  <c r="V81" i="5"/>
  <c r="U81" i="5"/>
  <c r="T81" i="5"/>
  <c r="S81" i="5"/>
  <c r="R81" i="5"/>
  <c r="Q81" i="5"/>
  <c r="P81" i="5"/>
  <c r="O81" i="5"/>
  <c r="N81" i="5"/>
  <c r="M81" i="5"/>
  <c r="V80" i="5"/>
  <c r="U80" i="5"/>
  <c r="T80" i="5"/>
  <c r="S80" i="5"/>
  <c r="R80" i="5"/>
  <c r="Q80" i="5"/>
  <c r="P80" i="5"/>
  <c r="O80" i="5"/>
  <c r="N80" i="5"/>
  <c r="M80" i="5"/>
  <c r="Q79" i="5"/>
  <c r="N79" i="5"/>
  <c r="M79" i="5"/>
  <c r="Z77" i="5"/>
  <c r="U77" i="5"/>
  <c r="S77" i="5"/>
  <c r="O77" i="5"/>
  <c r="V75" i="5"/>
  <c r="U75" i="5"/>
  <c r="T75" i="5"/>
  <c r="S75" i="5"/>
  <c r="R75" i="5"/>
  <c r="Q75" i="5"/>
  <c r="P75" i="5"/>
  <c r="O75" i="5"/>
  <c r="N75" i="5"/>
  <c r="M75" i="5"/>
  <c r="V76" i="5"/>
  <c r="U76" i="5"/>
  <c r="T76" i="5"/>
  <c r="S76" i="5"/>
  <c r="R76" i="5"/>
  <c r="Q76" i="5"/>
  <c r="P76" i="5"/>
  <c r="O76" i="5"/>
  <c r="N76" i="5"/>
  <c r="M76" i="5"/>
  <c r="X74" i="5"/>
  <c r="V74" i="5"/>
  <c r="T74" i="5"/>
  <c r="S74" i="5"/>
  <c r="R74" i="5"/>
  <c r="Q74" i="5"/>
  <c r="P74" i="5"/>
  <c r="O74" i="5"/>
  <c r="N74" i="5"/>
  <c r="M74" i="5"/>
  <c r="X73" i="5"/>
  <c r="U73" i="5"/>
  <c r="T73" i="5"/>
  <c r="S73" i="5"/>
  <c r="R73" i="5"/>
  <c r="Q73" i="5"/>
  <c r="P73" i="5"/>
  <c r="O73" i="5"/>
  <c r="N73" i="5"/>
  <c r="M73" i="5"/>
  <c r="X72" i="5"/>
  <c r="W72" i="5"/>
  <c r="AC72" i="5"/>
  <c r="AA72" i="5"/>
  <c r="V72" i="5"/>
  <c r="U72" i="5"/>
  <c r="S72" i="5"/>
  <c r="R72" i="5"/>
  <c r="Q72" i="5"/>
  <c r="P72" i="5"/>
  <c r="O72" i="5"/>
  <c r="N72" i="5"/>
  <c r="M72" i="5"/>
  <c r="X70" i="5"/>
  <c r="W70" i="5"/>
  <c r="AC70" i="5"/>
  <c r="AA70" i="5"/>
  <c r="X55" i="5"/>
  <c r="X53" i="5"/>
  <c r="X51" i="5"/>
  <c r="X49" i="5"/>
  <c r="X47" i="5"/>
  <c r="X45" i="5"/>
  <c r="X43" i="5"/>
  <c r="X41" i="5"/>
  <c r="X39" i="5"/>
  <c r="W53" i="5"/>
  <c r="W51" i="5"/>
  <c r="W49" i="5"/>
  <c r="W47" i="5"/>
  <c r="W45" i="5"/>
  <c r="W43" i="5"/>
  <c r="W41" i="5"/>
  <c r="W39" i="5"/>
  <c r="AC49" i="5"/>
  <c r="AC47" i="5"/>
  <c r="AC45" i="5"/>
  <c r="AC43" i="5"/>
  <c r="AC41" i="5"/>
  <c r="AC39" i="5"/>
  <c r="AC37" i="5"/>
  <c r="AA59" i="5"/>
  <c r="AA57" i="5"/>
  <c r="AA55" i="5"/>
  <c r="AA53" i="5"/>
  <c r="AA51" i="5"/>
  <c r="AA49" i="5"/>
  <c r="AA47" i="5"/>
  <c r="AA45" i="5"/>
  <c r="AA43" i="5"/>
  <c r="AA41" i="5"/>
  <c r="AA39" i="5"/>
  <c r="V49" i="5"/>
  <c r="V47" i="5"/>
  <c r="V45" i="5"/>
  <c r="V43" i="5"/>
  <c r="U59" i="5"/>
  <c r="U57" i="5"/>
  <c r="U55" i="5"/>
  <c r="U53" i="5"/>
  <c r="U51" i="5"/>
  <c r="U49" i="5"/>
  <c r="U47" i="5"/>
  <c r="U45" i="5"/>
  <c r="U43" i="5"/>
  <c r="U41" i="5"/>
  <c r="U39" i="5"/>
  <c r="U37" i="5"/>
  <c r="U35" i="5"/>
  <c r="T61" i="5"/>
  <c r="T59" i="5"/>
  <c r="T57" i="5"/>
  <c r="T55" i="5"/>
  <c r="T53" i="5"/>
  <c r="T51" i="5"/>
  <c r="T49" i="5"/>
  <c r="T47" i="5"/>
  <c r="T45" i="5"/>
  <c r="T43" i="5"/>
  <c r="T41" i="5"/>
  <c r="T39" i="5"/>
  <c r="T37" i="5"/>
  <c r="T35" i="5"/>
  <c r="S61" i="5"/>
  <c r="S59" i="5"/>
  <c r="S57" i="5"/>
  <c r="S55" i="5"/>
  <c r="S53" i="5"/>
  <c r="S51" i="5"/>
  <c r="S49" i="5"/>
  <c r="S47" i="5"/>
  <c r="S45" i="5"/>
  <c r="S43" i="5"/>
  <c r="S41" i="5"/>
  <c r="S39" i="5"/>
  <c r="S37" i="5"/>
  <c r="S35" i="5"/>
  <c r="R61" i="5"/>
  <c r="R57" i="5"/>
  <c r="R55" i="5"/>
  <c r="R49" i="5"/>
  <c r="R47" i="5"/>
  <c r="R43" i="5"/>
  <c r="R59" i="5"/>
  <c r="R53" i="5"/>
  <c r="R51" i="5"/>
  <c r="R45" i="5"/>
  <c r="R41" i="5"/>
  <c r="R39" i="5"/>
  <c r="Q55" i="5"/>
  <c r="Q53" i="5"/>
  <c r="Q51" i="5"/>
  <c r="Q49" i="5"/>
  <c r="Q47" i="5"/>
  <c r="Q45" i="5"/>
  <c r="Q43" i="5"/>
  <c r="Q41" i="5"/>
  <c r="Q39" i="5"/>
  <c r="P59" i="5"/>
  <c r="P57" i="5"/>
  <c r="P55" i="5"/>
  <c r="P53" i="5"/>
  <c r="P51" i="5"/>
  <c r="P49" i="5"/>
  <c r="P47" i="5"/>
  <c r="P45" i="5"/>
  <c r="P43" i="5"/>
  <c r="P41" i="5"/>
  <c r="P39" i="5"/>
  <c r="P37" i="5"/>
  <c r="L49" i="5"/>
  <c r="L47" i="5"/>
  <c r="L45" i="5"/>
  <c r="L43" i="5"/>
  <c r="L41" i="5"/>
  <c r="L49" i="7"/>
  <c r="L47" i="7"/>
  <c r="L45" i="7"/>
  <c r="L43" i="7"/>
  <c r="L41" i="7"/>
  <c r="O57" i="5"/>
  <c r="O55" i="5"/>
  <c r="O53" i="5"/>
  <c r="O51" i="5"/>
  <c r="O49" i="5"/>
  <c r="O47" i="5"/>
  <c r="O45" i="5"/>
  <c r="O43" i="5"/>
  <c r="O41" i="5"/>
  <c r="O39" i="5"/>
  <c r="O37" i="5"/>
  <c r="O35" i="5"/>
  <c r="N59" i="5"/>
  <c r="N57" i="5"/>
  <c r="N55" i="5"/>
  <c r="N53" i="5"/>
  <c r="N51" i="5"/>
  <c r="N49" i="5"/>
  <c r="N47" i="5"/>
  <c r="N45" i="5"/>
  <c r="N43" i="5"/>
  <c r="N41" i="5"/>
  <c r="N39" i="5"/>
  <c r="M55" i="5"/>
  <c r="M53" i="5"/>
  <c r="M51" i="5"/>
  <c r="M49" i="5"/>
  <c r="M47" i="5"/>
  <c r="M45" i="5"/>
  <c r="M43" i="5"/>
  <c r="M41" i="5"/>
  <c r="M39" i="5"/>
  <c r="M37" i="5"/>
  <c r="Y30" i="5"/>
  <c r="Y29" i="5"/>
  <c r="Y28" i="5"/>
  <c r="Y27" i="5"/>
  <c r="Y26" i="5"/>
  <c r="Y25" i="5"/>
  <c r="Y24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AD29" i="5"/>
  <c r="AD28" i="5"/>
  <c r="AD27" i="5"/>
  <c r="AD26" i="5"/>
  <c r="AD2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1" i="5"/>
  <c r="AA22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S21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P34" i="5"/>
  <c r="P33" i="5"/>
  <c r="P32" i="5"/>
  <c r="P31" i="5"/>
  <c r="P30" i="5"/>
  <c r="P29" i="5"/>
  <c r="P28" i="5"/>
  <c r="P27" i="5"/>
  <c r="P26" i="5"/>
  <c r="P25" i="5"/>
  <c r="P24" i="5"/>
  <c r="P21" i="5"/>
  <c r="P23" i="5"/>
  <c r="P22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Y12" i="5"/>
  <c r="Y11" i="5"/>
  <c r="Y10" i="5"/>
  <c r="Y9" i="5"/>
  <c r="Y8" i="5"/>
  <c r="Y7" i="5"/>
  <c r="Y6" i="5"/>
  <c r="Y5" i="5"/>
  <c r="Y4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4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AD5" i="5"/>
  <c r="AD4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V16" i="5"/>
  <c r="V17" i="5"/>
  <c r="V15" i="5"/>
  <c r="V14" i="5"/>
  <c r="V13" i="5"/>
  <c r="V12" i="5"/>
  <c r="V11" i="5"/>
  <c r="V10" i="5"/>
  <c r="V9" i="5"/>
  <c r="V8" i="5"/>
  <c r="V7" i="5"/>
  <c r="V6" i="5"/>
  <c r="V5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S15" i="5"/>
  <c r="S14" i="5"/>
  <c r="S13" i="5"/>
  <c r="S12" i="5"/>
  <c r="S11" i="5"/>
  <c r="S10" i="5"/>
  <c r="S9" i="5"/>
  <c r="S8" i="5"/>
  <c r="S7" i="5"/>
  <c r="S6" i="5"/>
  <c r="S5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I158" i="5"/>
  <c r="J158" i="5"/>
  <c r="H113" i="5"/>
  <c r="H92" i="5"/>
  <c r="H87" i="5"/>
  <c r="H71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G29" i="5"/>
  <c r="G34" i="5"/>
  <c r="G33" i="5"/>
  <c r="G32" i="5"/>
  <c r="G31" i="5"/>
  <c r="G30" i="5"/>
  <c r="F34" i="5"/>
  <c r="F33" i="5"/>
  <c r="F32" i="5"/>
  <c r="F31" i="5"/>
  <c r="F30" i="5"/>
  <c r="F29" i="5"/>
  <c r="H13" i="5"/>
  <c r="H12" i="5"/>
  <c r="H11" i="5"/>
  <c r="H10" i="5"/>
  <c r="H9" i="5"/>
  <c r="H8" i="5"/>
  <c r="H7" i="5"/>
  <c r="G15" i="5"/>
  <c r="G14" i="5"/>
  <c r="G13" i="5"/>
  <c r="G12" i="5"/>
  <c r="G11" i="5"/>
  <c r="G10" i="5"/>
  <c r="G9" i="5"/>
  <c r="G8" i="5"/>
  <c r="G7" i="5"/>
  <c r="F14" i="5"/>
  <c r="F13" i="5"/>
  <c r="F12" i="5"/>
  <c r="F11" i="5"/>
  <c r="F10" i="5"/>
  <c r="F9" i="5"/>
  <c r="F8" i="5"/>
  <c r="F7" i="5"/>
  <c r="AL1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Nikiforos Alygizakis</author>
  </authors>
  <commentList>
    <comment ref="A1" authorId="0" shapeId="0" xr:uid="{1C9932E9-EEDD-4CFD-BD4A-78379FD7EAC3}">
      <text>
        <r>
          <rPr>
            <sz val="9"/>
            <color indexed="81"/>
            <rFont val="Tahoma"/>
            <family val="2"/>
          </rPr>
          <t>Red color indicates identification level 4 (unequivocal molecular formula)
Dark red color indicates identification level 5 (mass of interest)</t>
        </r>
      </text>
    </comment>
  </commentList>
</comments>
</file>

<file path=xl/sharedStrings.xml><?xml version="1.0" encoding="utf-8"?>
<sst xmlns="http://schemas.openxmlformats.org/spreadsheetml/2006/main" count="24481" uniqueCount="1259">
  <si>
    <t>SPA-8C</t>
  </si>
  <si>
    <t>Atrazine-2-hydroxy</t>
  </si>
  <si>
    <t>Chlorothalonil-4-hydroxy</t>
  </si>
  <si>
    <t>N.D.</t>
  </si>
  <si>
    <t>GES-02</t>
  </si>
  <si>
    <t>GES-03</t>
  </si>
  <si>
    <t>GES-04</t>
  </si>
  <si>
    <t>GES-05</t>
  </si>
  <si>
    <t>GES-06</t>
  </si>
  <si>
    <t>GES-07</t>
  </si>
  <si>
    <t>GES-08</t>
  </si>
  <si>
    <t>GES-09</t>
  </si>
  <si>
    <t>GES-10</t>
  </si>
  <si>
    <t>GES-11</t>
  </si>
  <si>
    <t>GES-12</t>
  </si>
  <si>
    <t>GES-13</t>
  </si>
  <si>
    <t>GES-14</t>
  </si>
  <si>
    <t>GES-15</t>
  </si>
  <si>
    <t>LAS-C10</t>
  </si>
  <si>
    <t>LAS-C11</t>
  </si>
  <si>
    <t>LAS-C12</t>
  </si>
  <si>
    <t>LAS-C13</t>
  </si>
  <si>
    <t>LAS-C14</t>
  </si>
  <si>
    <t>PFHxS-Cl</t>
  </si>
  <si>
    <t>PFOS-Cl</t>
  </si>
  <si>
    <t>PFHxS-ether</t>
  </si>
  <si>
    <t>PFOS-Ketone</t>
  </si>
  <si>
    <t>2-Benzothiazole-sulfonic-acid</t>
  </si>
  <si>
    <t>3-Nitrobenzenesulfonate</t>
  </si>
  <si>
    <t>4-Hydroxybenzenesulfonate</t>
  </si>
  <si>
    <t>4-Isopropylbenzene-sulfonic-acid</t>
  </si>
  <si>
    <t>Phenoxyacetic-acid</t>
  </si>
  <si>
    <t>4-Nonylphenol</t>
  </si>
  <si>
    <t>Bisphenol-A</t>
  </si>
  <si>
    <t>Bisphenol-AF</t>
  </si>
  <si>
    <t>Bisphenol-AP</t>
  </si>
  <si>
    <t>Bisphenol-B</t>
  </si>
  <si>
    <t>Bisphenol-BP</t>
  </si>
  <si>
    <t>Bisphenol-C</t>
  </si>
  <si>
    <t>Bisphenol-E</t>
  </si>
  <si>
    <t>Bisphenol-FL</t>
  </si>
  <si>
    <t>Bisphenol-G</t>
  </si>
  <si>
    <t>Bisphenol-M</t>
  </si>
  <si>
    <t>Bisphenol-P</t>
  </si>
  <si>
    <t>Bisphenol-S</t>
  </si>
  <si>
    <t>Bisphenol-TMC</t>
  </si>
  <si>
    <t>Bisphenol-Z</t>
  </si>
  <si>
    <t>Tetrabromobisphenol-A</t>
  </si>
  <si>
    <t>Acesulfam</t>
  </si>
  <si>
    <t>Diclofenac</t>
  </si>
  <si>
    <t>Sucralose</t>
  </si>
  <si>
    <t>PFOS</t>
  </si>
  <si>
    <t>Sulfamethoxazole</t>
  </si>
  <si>
    <t>Losartan</t>
  </si>
  <si>
    <t>Omeprazole</t>
  </si>
  <si>
    <t>Valsartan</t>
  </si>
  <si>
    <t>C12AEO-02PEG</t>
  </si>
  <si>
    <t>C12AEO-03PEG</t>
  </si>
  <si>
    <t>C12AEO-04PEG</t>
  </si>
  <si>
    <t>C12AEO-05PEG</t>
  </si>
  <si>
    <t>C12AEO-06PEG</t>
  </si>
  <si>
    <t>C12AEO-07PEG</t>
  </si>
  <si>
    <t>C12AEO-08PEG</t>
  </si>
  <si>
    <t>C12AEO-09PEG</t>
  </si>
  <si>
    <t>C12AEO-10PEG</t>
  </si>
  <si>
    <t>C12AEO-11PEG</t>
  </si>
  <si>
    <t>C12AEO-12PEG</t>
  </si>
  <si>
    <t>C12AEO-13PEG</t>
  </si>
  <si>
    <t>C12AEO-14PEG</t>
  </si>
  <si>
    <t>C12AEO-15PEG</t>
  </si>
  <si>
    <t>C12AEO-16PEG</t>
  </si>
  <si>
    <t>C12AEO-17PEG</t>
  </si>
  <si>
    <t>C12AEO-18PEG</t>
  </si>
  <si>
    <t>PEG-04</t>
  </si>
  <si>
    <t>PEG-05</t>
  </si>
  <si>
    <t>PEG-06</t>
  </si>
  <si>
    <t>PEG-07</t>
  </si>
  <si>
    <t>PEG-08</t>
  </si>
  <si>
    <t>PEG-09</t>
  </si>
  <si>
    <t>PEG-10</t>
  </si>
  <si>
    <t>PEG-11</t>
  </si>
  <si>
    <t>PEG-12</t>
  </si>
  <si>
    <t>PEG-13</t>
  </si>
  <si>
    <t>PEG-14</t>
  </si>
  <si>
    <t>PEG-15</t>
  </si>
  <si>
    <t>PEG-16</t>
  </si>
  <si>
    <t>PEG-17</t>
  </si>
  <si>
    <t>3-Hydroxypyridine</t>
  </si>
  <si>
    <t>Carbamazepine-10-hydroxy</t>
  </si>
  <si>
    <t>Diltiazem</t>
  </si>
  <si>
    <t>Diltiazem-desacetyl</t>
  </si>
  <si>
    <t>Losartan-carboxylic-acid</t>
  </si>
  <si>
    <t>Quetiapine-N-desalkyl</t>
  </si>
  <si>
    <t>Sitagliptin</t>
  </si>
  <si>
    <t>Vildagliptin</t>
  </si>
  <si>
    <t>Omeprazole-4-hydroxy-sulphide</t>
  </si>
  <si>
    <t>Valsartan-acid</t>
  </si>
  <si>
    <t>Benzotriazole-5-carboxylic-acid</t>
  </si>
  <si>
    <t>Gabapentin</t>
  </si>
  <si>
    <t>Terbutylazine-desethyl</t>
  </si>
  <si>
    <t>Gabapentin-lactam</t>
  </si>
  <si>
    <t>Galaxolidone</t>
  </si>
  <si>
    <t>Guanylurea</t>
  </si>
  <si>
    <t>Irbesartan</t>
  </si>
  <si>
    <t>Metoprolol-acid</t>
  </si>
  <si>
    <t>N-Methyl-2-pyrrolidone</t>
  </si>
  <si>
    <t>Phenylalanine</t>
  </si>
  <si>
    <t>Tramadol-N-oxide</t>
  </si>
  <si>
    <t>Citalopram-amide</t>
  </si>
  <si>
    <t>Citalopram-carboxylic-acid</t>
  </si>
  <si>
    <t>Citalopram-N-oxide</t>
  </si>
  <si>
    <t>Citalopram-desmethyl</t>
  </si>
  <si>
    <t>Citalopram-3-oxo</t>
  </si>
  <si>
    <t>Atenolol</t>
  </si>
  <si>
    <t>Atrazine</t>
  </si>
  <si>
    <t>Benzotriazole</t>
  </si>
  <si>
    <t>Carbamazepine</t>
  </si>
  <si>
    <t>Quetiapine</t>
  </si>
  <si>
    <t>Citalopram</t>
  </si>
  <si>
    <t>Isoproturon</t>
  </si>
  <si>
    <t>Terbutylazine</t>
  </si>
  <si>
    <t>Metoprolol</t>
  </si>
  <si>
    <t>Tramadol</t>
  </si>
  <si>
    <t>Venlafaxine</t>
  </si>
  <si>
    <t>4-Octylphenol/4-tert-Octylphenol</t>
  </si>
  <si>
    <t>Compound Name_Short</t>
  </si>
  <si>
    <t>Influent_Athens</t>
  </si>
  <si>
    <t>Sludge_Athens</t>
  </si>
  <si>
    <t>Seawater_Athens (Saronikos Gulf)</t>
  </si>
  <si>
    <t>Danube River (Norman 2015 CT)</t>
  </si>
  <si>
    <t>Effluent_Athens_2015</t>
  </si>
  <si>
    <t>Detected</t>
  </si>
  <si>
    <t>Effluent_Athens_2014</t>
  </si>
  <si>
    <t>GW (Vall d'Uixo)</t>
  </si>
  <si>
    <t>EWW Vall D'Uixo (only ESI POS)</t>
  </si>
  <si>
    <t>48504 (EWW QUART-BENAGER)</t>
  </si>
  <si>
    <t>Danube River (near Leipheim, Germany)</t>
  </si>
  <si>
    <t>Not screened</t>
  </si>
  <si>
    <t>POS</t>
  </si>
  <si>
    <t>NEG</t>
  </si>
  <si>
    <t>UoA (Nikiforos Alygizakis)</t>
  </si>
  <si>
    <t>Universitat Jaume I (Maria Ibanez)</t>
  </si>
  <si>
    <t>Zweckverband Landeswasserversorgung  (Wolfram Seitz)</t>
  </si>
  <si>
    <t>Formula</t>
  </si>
  <si>
    <t>C16H34O3</t>
  </si>
  <si>
    <t>C18H38O4</t>
  </si>
  <si>
    <t>C20H42O5</t>
  </si>
  <si>
    <t>C22H46O6</t>
  </si>
  <si>
    <t>C24H50O7</t>
  </si>
  <si>
    <t>C26H54O8</t>
  </si>
  <si>
    <t>C28H58O9</t>
  </si>
  <si>
    <t>C30H62O10</t>
  </si>
  <si>
    <t>C32H66O11</t>
  </si>
  <si>
    <t>C34H70O12</t>
  </si>
  <si>
    <t>C36H74O13</t>
  </si>
  <si>
    <t>C38H78O14</t>
  </si>
  <si>
    <t>C40H82O15</t>
  </si>
  <si>
    <t>C42H86O16</t>
  </si>
  <si>
    <t>C44H90O17</t>
  </si>
  <si>
    <t>C46H94O18</t>
  </si>
  <si>
    <t>C48H98O19</t>
  </si>
  <si>
    <t>C8H18O5</t>
  </si>
  <si>
    <t>C10H22O6</t>
  </si>
  <si>
    <t>C12H26O7</t>
  </si>
  <si>
    <t>C14H30O8</t>
  </si>
  <si>
    <t>C16H34O9</t>
  </si>
  <si>
    <t>C18H38O10</t>
  </si>
  <si>
    <t>C20H42O11</t>
  </si>
  <si>
    <t>C22H46O12</t>
  </si>
  <si>
    <t>C24H50O13</t>
  </si>
  <si>
    <t>C26H54O14</t>
  </si>
  <si>
    <t>C28H58O15</t>
  </si>
  <si>
    <t>C30H62O16</t>
  </si>
  <si>
    <t>C32H66O17</t>
  </si>
  <si>
    <t>C34H70O18</t>
  </si>
  <si>
    <t>C6H14O7S</t>
  </si>
  <si>
    <t>C8H18O8S</t>
  </si>
  <si>
    <t>C10H22O9S</t>
  </si>
  <si>
    <t>C12H26O10S</t>
  </si>
  <si>
    <t>C14H30O11S</t>
  </si>
  <si>
    <t>C16H34O12S</t>
  </si>
  <si>
    <t>C18H38O13S</t>
  </si>
  <si>
    <t>C20H42O14S</t>
  </si>
  <si>
    <t>C22H46O15S</t>
  </si>
  <si>
    <t>C24H50O16S</t>
  </si>
  <si>
    <t>C26H54O17S</t>
  </si>
  <si>
    <t>C28H58O18S</t>
  </si>
  <si>
    <t>C30H62O19S</t>
  </si>
  <si>
    <t>C32H66O20S</t>
  </si>
  <si>
    <t>C16H26O3S</t>
  </si>
  <si>
    <t>C17H28O3S</t>
  </si>
  <si>
    <t>C18H30O3S</t>
  </si>
  <si>
    <t>C19H32O3S</t>
  </si>
  <si>
    <t>C20H34O3S</t>
  </si>
  <si>
    <t>C14H20O5S</t>
  </si>
  <si>
    <t>C5H5NO</t>
  </si>
  <si>
    <t>C5H9NO</t>
  </si>
  <si>
    <t>C15H12N2O</t>
  </si>
  <si>
    <t>C15H14N2O2</t>
  </si>
  <si>
    <t>C22H26N2O4S</t>
  </si>
  <si>
    <t>C20H24N2O3S</t>
  </si>
  <si>
    <t>C21H24N2O4S</t>
  </si>
  <si>
    <t>C22H23ClN6O</t>
  </si>
  <si>
    <t>C22H21ClN6O2</t>
  </si>
  <si>
    <t>C21H25N3O2S</t>
  </si>
  <si>
    <t>C17H17N3S</t>
  </si>
  <si>
    <t>C16H15F6N5O</t>
  </si>
  <si>
    <t>C17H25N3O2</t>
  </si>
  <si>
    <t>C17H19N3O3S</t>
  </si>
  <si>
    <t>C16H17N3O2S</t>
  </si>
  <si>
    <t>C24H29N5O3</t>
  </si>
  <si>
    <t>C14H10N4O2</t>
  </si>
  <si>
    <t>C9H17NO2</t>
  </si>
  <si>
    <t>C9H15NO</t>
  </si>
  <si>
    <t>C18H24O2</t>
  </si>
  <si>
    <t>C2H6N4O</t>
  </si>
  <si>
    <t>C25H30N6O2</t>
  </si>
  <si>
    <t>C9H11NO2</t>
  </si>
  <si>
    <t>C8HCl3N2O</t>
  </si>
  <si>
    <t>C8HF17O3S</t>
  </si>
  <si>
    <t>C6HClF12O3S</t>
  </si>
  <si>
    <t>C8HClF16O3S</t>
  </si>
  <si>
    <t>C6HF13O4S</t>
  </si>
  <si>
    <t>C8HF15O4S</t>
  </si>
  <si>
    <t>C20H21FN2O</t>
  </si>
  <si>
    <t>C20H23FN2O2</t>
  </si>
  <si>
    <t>C20H23FNO3</t>
  </si>
  <si>
    <t>C20H21FN2O2</t>
  </si>
  <si>
    <t>C19H20FN2O</t>
  </si>
  <si>
    <t>C20H19FN2O2</t>
  </si>
  <si>
    <t>C14H22N2O3</t>
  </si>
  <si>
    <t>C15H25NO3</t>
  </si>
  <si>
    <t>C14H21NO4</t>
  </si>
  <si>
    <t>C8H14Cl1N5</t>
  </si>
  <si>
    <t>C8H15N5O</t>
  </si>
  <si>
    <t>C14H11Cl2NO2</t>
  </si>
  <si>
    <t>C12H18N2O</t>
  </si>
  <si>
    <t>C10H11N3O3S</t>
  </si>
  <si>
    <t>C9H16ClN5</t>
  </si>
  <si>
    <t>C7H12ClN5</t>
  </si>
  <si>
    <t>C16H25NO2</t>
  </si>
  <si>
    <t>C16H25NO3</t>
  </si>
  <si>
    <t>C17H27NO2</t>
  </si>
  <si>
    <t>C6H5N3</t>
  </si>
  <si>
    <t>C7H5N3O2</t>
  </si>
  <si>
    <t>C7H5NO3S2</t>
  </si>
  <si>
    <t>C6H5NO5S</t>
  </si>
  <si>
    <t>C6H6O4S</t>
  </si>
  <si>
    <t>C9H12O3S</t>
  </si>
  <si>
    <t>C8H8O3</t>
  </si>
  <si>
    <t>C15H24O</t>
  </si>
  <si>
    <t>C14H22O</t>
  </si>
  <si>
    <t>C15H16O2</t>
  </si>
  <si>
    <t>C15H10F6O2</t>
  </si>
  <si>
    <t>C20H18O2</t>
  </si>
  <si>
    <t>C16H18O2</t>
  </si>
  <si>
    <t>C25H20O2</t>
  </si>
  <si>
    <t>C17H20O2</t>
  </si>
  <si>
    <t>C14H14O2</t>
  </si>
  <si>
    <t>C13H12O2</t>
  </si>
  <si>
    <t>C25H18O2</t>
  </si>
  <si>
    <t>C21H28O2</t>
  </si>
  <si>
    <t>C24H26O2</t>
  </si>
  <si>
    <t>C12H10O4S</t>
  </si>
  <si>
    <t>C21H26O2</t>
  </si>
  <si>
    <t>C18H20O2</t>
  </si>
  <si>
    <t>C15H12Br4O2</t>
  </si>
  <si>
    <t>C4H5NO4S</t>
  </si>
  <si>
    <t>C12H19Cl3O8</t>
  </si>
  <si>
    <t>-</t>
  </si>
  <si>
    <t>Eawag (Emma Schymanski)</t>
  </si>
  <si>
    <t>NTCT_Eawag_Blank</t>
  </si>
  <si>
    <t>Bisphenol-F -4,4' or 2,2</t>
  </si>
  <si>
    <t>Bisphenol-F-2,2 or 4,4</t>
  </si>
  <si>
    <t>Screened Adduct</t>
  </si>
  <si>
    <t>Diltiazem-N-desmethyl</t>
  </si>
  <si>
    <t>Diltiazem-O-desmethyl</t>
  </si>
  <si>
    <t>Eijsden, Meuse River</t>
  </si>
  <si>
    <t>Blank</t>
  </si>
  <si>
    <t>Influent_Mexico_</t>
  </si>
  <si>
    <t>Drinking water</t>
  </si>
  <si>
    <t>Ground Water</t>
  </si>
  <si>
    <t>Surface Water</t>
  </si>
  <si>
    <t>Effluent Wastewater_Switzerland</t>
  </si>
  <si>
    <t>NT_CT_Eawag</t>
  </si>
  <si>
    <t>Eawag (Heinz Singer)</t>
  </si>
  <si>
    <t>Surface Water_Furtbach_Switzerland</t>
  </si>
  <si>
    <t>Blank Water_Furtbach_Switzerland</t>
  </si>
  <si>
    <t>Doubs_France-Swiss Border</t>
  </si>
  <si>
    <t>Blank_Doubs_France-Swiss Border</t>
  </si>
  <si>
    <t>Rhine_Albruck</t>
  </si>
  <si>
    <t>Rhine_Weil</t>
  </si>
  <si>
    <t>Blank_Rhine</t>
  </si>
  <si>
    <t>Venlafaxine-O-desmethyl</t>
  </si>
  <si>
    <t>Venlafaxine-N-desmethyl</t>
  </si>
  <si>
    <t>Surface Water_Vecht</t>
  </si>
  <si>
    <t>Ground Water_Ijssel</t>
  </si>
  <si>
    <t>Blank_Vecht</t>
  </si>
  <si>
    <t>Blank_ljssel</t>
  </si>
  <si>
    <t>Ion</t>
  </si>
  <si>
    <t>Files</t>
  </si>
  <si>
    <t>Effluent Wastewater, flow-proportional 24 hr composite samples</t>
  </si>
  <si>
    <t>Instrument Type</t>
  </si>
  <si>
    <t>LC-ESI-Orbitrap XL</t>
  </si>
  <si>
    <t>Acquisition mode</t>
  </si>
  <si>
    <t>Data Dependent (5 most abundant precursor ions)</t>
  </si>
  <si>
    <t>Instrument Information</t>
  </si>
  <si>
    <t>Gradient</t>
  </si>
  <si>
    <t>Column</t>
  </si>
  <si>
    <t>XBridge C18 column (3.5 μm, 2.1 × 50 mm) from Waters (Milford,U.S.) with a 2.1 × 10 mm precolumn of the same material.</t>
  </si>
  <si>
    <t>Gradient_Solvents</t>
  </si>
  <si>
    <t>A: water with 0.1% formic acid; B:methanol with 0.1% formic acid</t>
  </si>
  <si>
    <t>Calibration of Chromatogram</t>
  </si>
  <si>
    <t>Vendor-recommended calibration during acquisition.</t>
  </si>
  <si>
    <t>PAL Autosampler (CTC Analytics, Zwingen, Switzerland); Rheos 2200 quaternary low pressure mixing pump (Flux Instruments, Basel, Switzerland), MS: Orbitrap XL, Thermo Scientific</t>
  </si>
  <si>
    <t>90:10 at 0 min, to 50:50 at 4 min, to 5:95 at 17 min, held until 25 min then 90:10 at 25.1 to 30 min</t>
  </si>
  <si>
    <t xml:space="preserve">DOI: 10.1021/es4044374 </t>
  </si>
  <si>
    <t>Surface water: Collaborative Screening Trial Sample from Danube</t>
  </si>
  <si>
    <t>JDS57, Ruse/Giurgio</t>
  </si>
  <si>
    <t>LC-ESI-QExactive</t>
  </si>
  <si>
    <t xml:space="preserve">Data independent </t>
  </si>
  <si>
    <t>MS: QExactive, Thermo Scientific</t>
  </si>
  <si>
    <t>DOI: 10.1007/s00216-015-8681-7</t>
  </si>
  <si>
    <t>Switzerland</t>
  </si>
  <si>
    <t>Surface water: medium-sized stream in Switzerland</t>
  </si>
  <si>
    <t>Furtbach, Switerland</t>
  </si>
  <si>
    <t>PAL Autosampler (CTC Analytics, Zwingen,Switzerland), Rheos 2200 low pressure mixing pump (Flux Instruments, Basel, Switzerland), MS: QExactive, Thermo Scientific</t>
  </si>
  <si>
    <t>DOI: 10.1021/es500371t</t>
  </si>
  <si>
    <t>Surface water: stream in Switzerland, on the border to France</t>
  </si>
  <si>
    <t>Data Dependent with inclusion list for target substances</t>
  </si>
  <si>
    <t>MS: QExactive Plus, Thermo Scientific</t>
  </si>
  <si>
    <t xml:space="preserve">Mechelke et al. 2015: Report to BAFU : Multikomponenten-Screening von organischen Mikroverunreinigungen im Doubs (in German). </t>
  </si>
  <si>
    <t>Surface water: large Rhine River in Switzerland – two locations: Weil and Albruck</t>
  </si>
  <si>
    <t>Data Dependent with inclusion list for missing target substances (these were re-measured samples)</t>
  </si>
  <si>
    <t>MS: Orbitrap XL, Thermo Scientific</t>
  </si>
  <si>
    <t>Flow</t>
  </si>
  <si>
    <t>DOI: 10.1016/j.watres.2015.09.017</t>
  </si>
  <si>
    <t>Calibration substance: Na Formate calibrant peaks (90.9766,158.9641,226.9515,294.9389,362.9263,430.9138,498.9012,566.8886,634.8760,702.8635,770.8509,838.8383,906.8257,974.8132) in the beginning of the chromatogram (scans #1-13)</t>
  </si>
  <si>
    <t>A_Positive ESI:90:10 water:methanol with 0.01% formic acid and 5mM ammonium formate; B_Positive ESI:methanol with 0.01% formic acid and 5mM ammonium formate; A_Negative ESI:90:10 water:methanol with 5mM ammonium acetate; B_Negative ESI:methanol with 5mM ammonium acetate</t>
  </si>
  <si>
    <t>99/1 at 0-1 min, 61/39 at 3 min, 0.1/99.9 at 14-16 min, 99/1 at 16.1-20 min</t>
  </si>
  <si>
    <t>LC: Dionex UltiMate 3000 RSLC (Thermo Fisher Scientific); MS: Bruker maXis Impact (Bremen, Germany)</t>
  </si>
  <si>
    <t>LC-ESI-QTOF</t>
  </si>
  <si>
    <t>200 uL/min at 0-3 min, 400 uL/min at 14 min, 480 uL/min at 16-19 min, 200 uL/min at 19.1-20 min</t>
  </si>
  <si>
    <t>DOI: 10.1016/j.scitotenv.2015.09.145</t>
  </si>
  <si>
    <t>DOI: 10.1007/s00216-015-8540-6</t>
  </si>
  <si>
    <t>DOI: 10.1021/acs.est.5b03454</t>
  </si>
  <si>
    <t>Acclaim RSLC C18 2.2um, 2.1x100mm (Thermo Fisher Scientific), preceded by a guard column of the same packaging material</t>
  </si>
  <si>
    <t>Data Independent</t>
  </si>
  <si>
    <t>LC: UHPLC Acquity system (Waters); MS: XEVO G2 QTOF (Waters)</t>
  </si>
  <si>
    <t>Acquity BEH C18 1.7um, 2.1x100mm (Waters)</t>
  </si>
  <si>
    <t>%B linearly increased as follows: 0 min, 10%; 14 min, 90%; 16 min, 90%; 16.01 min, 10% and 18 min, 10%</t>
  </si>
  <si>
    <t>300 uL/min</t>
  </si>
  <si>
    <t>A: water with 0.01% formic acid ; B:methanol with 0.01% formic acid</t>
  </si>
  <si>
    <t>Mass calibration  every 95 scans</t>
  </si>
  <si>
    <t>Groundwater</t>
  </si>
  <si>
    <t>Effluent wasteater</t>
  </si>
  <si>
    <t>Effluent wastewater</t>
  </si>
  <si>
    <t>Influent wastewater</t>
  </si>
  <si>
    <t>Mexico</t>
  </si>
  <si>
    <t xml:space="preserve">Effluent wastewater </t>
  </si>
  <si>
    <t>Sludge of primary sedimentation</t>
  </si>
  <si>
    <t>Seawater receiving effluent wastewater</t>
  </si>
  <si>
    <t>Surface waster</t>
  </si>
  <si>
    <t>LC-LTQ-Orbitrap</t>
  </si>
  <si>
    <t>250 ul/min</t>
  </si>
  <si>
    <t>Data dependent</t>
  </si>
  <si>
    <t>LC: Agilent 1200/1260 stack (Binary SL pump, Autosampler, Column oven, PDA; MS: LTQ-Orbitrap (Thermo Scientific)</t>
  </si>
  <si>
    <t>Xbridge C18 3.5 µm 2.1x150 mm (Waters)</t>
  </si>
  <si>
    <t>0-1 min  100% A, 1-7 min lin-grad to 100% B, 7-17 min 100%, 17-17.1 100% A, 17.1-18.1 100% A, 5 min equil.</t>
  </si>
  <si>
    <t>A: 95% Water/5% Methanol/0.05% Formic acid;B: 100% Acetonitril / 0.05% Formic acid</t>
  </si>
  <si>
    <t>No internal calibration or lock masses have been used in this data. External calibration according to guidelines Thermo Scientific using ProteoMass™ LTQ/FT-Hybrid ESI Pos. Mode Cal Mix (MSCAL5-1EA Supelco) See enclosed pdf: “RWS - Calibration report LTQ-Orbitrap 12-11-2015 data” for calibration output.</t>
  </si>
  <si>
    <t>Surface water</t>
  </si>
  <si>
    <t>Ground water</t>
  </si>
  <si>
    <t>LC-ESI-LTQ-Orbitrap</t>
  </si>
  <si>
    <t>Netherlands</t>
  </si>
  <si>
    <t>300 ul/min</t>
  </si>
  <si>
    <t>LC: Accela (Thermo Fisher Scientific);MS: Orbitrap Classic (Thermo Fisher Scientific)</t>
  </si>
  <si>
    <t>Xbridge C18 3.5 µm, 2.1x150 mm (Waters)</t>
  </si>
  <si>
    <t>95/5 at 0 min, 0/100 at 40 min</t>
  </si>
  <si>
    <t>A: ultrapure water + 0.05% formic acid; B:acetonitrile + 0.05% formic acid</t>
  </si>
  <si>
    <t>No calibration of chromatograms.Only external calibration by polytyrosine.</t>
  </si>
  <si>
    <t>Vecht</t>
  </si>
  <si>
    <t>1000 ul/min</t>
  </si>
  <si>
    <t>LC-ESI-TripleTOF</t>
  </si>
  <si>
    <t>LC: Shimadzu; MS: Sciex Triple 5600+</t>
  </si>
  <si>
    <t>Xselect HSS T3 3 µm, 4,6x150 mm (Waters)</t>
  </si>
  <si>
    <t>99%A &amp; 1%B (hold for 2 min);1%A &amp; 99%B (2-33 min);1%A &amp; 99%B (33-45)</t>
  </si>
  <si>
    <t>A:ultrapure water + 0.1% formic acid; B:acetonitrile</t>
  </si>
  <si>
    <t>Mass calibration with APCI Calibration Solution from Sciex</t>
  </si>
  <si>
    <t>100309_pos_micropoll_17.mzML (blind)+100324_neg_micropoll_17.mzML (blind)</t>
  </si>
  <si>
    <t>100309_pos_micropoll_18.mzML (ZWI)+100324_neg_micropoll_18.mzML (ZWI)</t>
  </si>
  <si>
    <t>100309_pos_micropoll_19.mzML (WIN)+100324_neg_micropoll_19.mzML (WIN)</t>
  </si>
  <si>
    <t>100309_pos_micropoll_20.mzML (ZUE)+100324_neg_micropoll_20.mzML (ZUE)</t>
  </si>
  <si>
    <t>100309_pos_micropoll_21.mzML (THA)+100324_neg_micropoll_21.mzML (THA)</t>
  </si>
  <si>
    <t>100309_pos_micropoll_22_2.mzML (UET)+100324_neg_micropoll_22.mzML (UET)</t>
  </si>
  <si>
    <t>100309_pos_micropoll_23_2.mzML (BIO)+100324_neg_micropoll_23.mzML (BIO)</t>
  </si>
  <si>
    <t>100309_pos_micropoll_27.mzML (VER)+100324_neg_micropoll_27.mzML (VER)</t>
  </si>
  <si>
    <t>100309_pos_micropoll_28.mzML (BUS)+100324_neg_micropoll_28.mzML (BUS)</t>
  </si>
  <si>
    <t>100309_pos_micropoll_29.mzML (HAL)+100324_neg_micropoll_29.mzML (HAL)</t>
  </si>
  <si>
    <t>100309_pos_micropoll_30.mzML (ZUG)+100324_neg_micropoll_30.mzML (ZUG)</t>
  </si>
  <si>
    <t>131216pos_10.mzML (positive, sample)+131216neg_10.mzML (negative, sample)</t>
  </si>
  <si>
    <t>120830_SPEZ-Juni+Event-Tessin-pos_35.mzXML (positive, sample)+120830_SPEZ-Juni+Event-Tessin-neg_34.mzXML (negative, sample)</t>
  </si>
  <si>
    <t>120830_SPEZ-Juni+Event-Tessin-pos_36.mzXML (positive, blank)+120830_SPEZ-Juni+Event-Tessin-neg_35.mzXML (negative, blank)</t>
  </si>
  <si>
    <t>141212_pos012.mzXML (positive, blank)+141212_neg012.mzXML (negative, blank)</t>
  </si>
  <si>
    <t>141212_pos014.mzXML (positive, sample)+141212_neg014.mzXML (negative, sample)</t>
  </si>
  <si>
    <t>120921_RheinNT_05.mzXML (positive, blank)</t>
  </si>
  <si>
    <t>120921_RheinNT_07.mzXML (positive, sample Albruck)</t>
  </si>
  <si>
    <t>120921_RheinNT_08.mzXML (positive, sample Weil)</t>
  </si>
  <si>
    <t>In_04.03.2015_bbCID_GD4_01_12622.mzML (positive)+In_07.03.2015_bbCID_GD7_01_12764.mzML (negative)</t>
  </si>
  <si>
    <t>Eff_07.03.2015_bbCID_GA4_01_12564.mzML (positive)+Eff_04.03.2015_bbCID_GA1_01_12700.mzML (negative)</t>
  </si>
  <si>
    <t>S7_EPIF_GB5_01_4583.mzML (positive)+S7_EPIF_GB5_01_4624.mzML (negative)</t>
  </si>
  <si>
    <t>Sludge_2015_2_BD6_01_14887.mzML (positive)+Sludge_2015_2_BD6_01_15809.mzML (negative)</t>
  </si>
  <si>
    <t>CBS_AguasAtenas_005.mzML (positive)+CBS_AguasAtenas_042 (negative)</t>
  </si>
  <si>
    <t>MS1_VALCUAL013.mzML (positive)</t>
  </si>
  <si>
    <t>SCR016.mzML (positive)+SCR0039.mzML (negative)</t>
  </si>
  <si>
    <t>SCR012.mzML (positive)+SCR0035.mzML (negative)</t>
  </si>
  <si>
    <t>MIM_MexicoInfluent_175.mzML (positive)</t>
  </si>
  <si>
    <t>15111213.mzML (positive)</t>
  </si>
  <si>
    <t>15111214.mzML (positive)</t>
  </si>
  <si>
    <t>15111222.mzML (positive)</t>
  </si>
  <si>
    <t>KWR DW 2013 pos 1+KWR DW 2013 neg 1</t>
  </si>
  <si>
    <t>KWR GW 2013 pos 1+KWR GW 2013 neg 1</t>
  </si>
  <si>
    <t>KWR surface water pos+KWR-surface water neg</t>
  </si>
  <si>
    <t>S160222 pos V1512165032  m1-S160222 pos V1512165032  m1.mzML (positive)+S160222 neg V1512165032  m1-S160222 neg V1512165032.mzML (negative)</t>
  </si>
  <si>
    <t>S160318 pos V1512165027  m1-S160318 pos V1512165027.mzML (positive) + S160318 neg V1512165027  m1-S160318 neg V1512165027.mzML (negative)</t>
  </si>
  <si>
    <t>KWR (Ton van Leerdam)</t>
  </si>
  <si>
    <t>(KWR) Ton van Leerdam</t>
  </si>
  <si>
    <t>RWS (Martijn Pijnappels)</t>
  </si>
  <si>
    <t>UoA (Nikiforos Alygizakis, Nikolaos Thomaidis)</t>
  </si>
  <si>
    <t>Vitens (Varvara Kokkali)</t>
  </si>
  <si>
    <t>Contributor (s)</t>
  </si>
  <si>
    <t>S160607 pos Blanco Vecht-S160607 pos (positive)+ Blanco Vecht.mzML+Blanco Vecht-S160607 neg Blanco Vecht.mzML (negative)</t>
  </si>
  <si>
    <t>S160318 pos V1512165027  m1-S160318 pos V1512165027  m1 (positive).mzML+S160222 neg V1512165032  m1-S160222 neg V1512165032  m1 .mzML (negative)</t>
  </si>
  <si>
    <t>CCCCCCCCCCCCOCCOCCO</t>
  </si>
  <si>
    <t>CCCCCCCCCCCCOCCOCCOCCO</t>
  </si>
  <si>
    <t>CCCCCCCCCCCCOCCOCCOCCOCCO</t>
  </si>
  <si>
    <t>CCCCCCCCCCCCOCCOCCOCCOCCOCCO</t>
  </si>
  <si>
    <t>CCCCCCCCCCCCOCCOCCOCCOCCOCCOCCO</t>
  </si>
  <si>
    <t>CCCCCCCCCCCCOCCOCCOCCOCCOCCOCCOCCO</t>
  </si>
  <si>
    <t>CCCCCCCCCCCCOCCOCCOCCOCCOCCOCCOCCOCCO</t>
  </si>
  <si>
    <t>CCCCCCCCCCCCOCCOCCOCCOCCOCCOCCOCCOCCOCCO</t>
  </si>
  <si>
    <t>CCCCCCCCCCCCOCCOCCOCCOCCOCCOCCOCCOCCOCCOCCO</t>
  </si>
  <si>
    <t>CCCCCCCCCCCCOCCOCCOCCOCCOCCOCCOCCOCCOCCOCCOCCO</t>
  </si>
  <si>
    <t>CCCCCCCCCCCCOCCOCCOCCOCCOCCOCCOCCOCCOCCOCCOCCOCCO</t>
  </si>
  <si>
    <t>CCCCCCCCCCCCOCCOCCOCCOCCOCCOCCOCCOCCOCCOCCOCCOCCOCCO</t>
  </si>
  <si>
    <t>CCCCCCOCCOCCOCCOCCOCCOCCOCCOCCOCCOCCOCCOCCOCCOCCOCCCCCC</t>
  </si>
  <si>
    <t>CCCCCCCCCCCCOCCOCCOCCOCCOCCOCCOCCOCCOCCOCCOCCOCCOCCOCCOCCO</t>
  </si>
  <si>
    <t>CCCCCCCCCCCCOCCOCCOCCOCCOCCOCCOCCOCCOCCOCCOCCOCCOCCOCCOCCOCCO</t>
  </si>
  <si>
    <t>CCCCCCCCCCCCOCCOCCOCCOCCOCCOCCOCCOCCOCCOCCOCCOCCOCCOCCOCCOCCOCCO</t>
  </si>
  <si>
    <t>CCCCCCCCCCCCOCCOCCOCCOCCOCCOCCOCCOCCOCCOCCOCCOCCOCCOCCOCCOCCOCCOCCO</t>
  </si>
  <si>
    <t>OCCOCCOCCOCCO</t>
  </si>
  <si>
    <t>OCCOCCOCCOCCOCCO</t>
  </si>
  <si>
    <t>OCCOCCOCCOCCOCCOCCO</t>
  </si>
  <si>
    <t>OCCOCCOCCOCCOCCOCCOCCO</t>
  </si>
  <si>
    <t>OCCOCCOCCOCCOCCOCCOCCOCCO</t>
  </si>
  <si>
    <t>OCCOCCOCCOCCOCCOCCOCCOCCOCCO</t>
  </si>
  <si>
    <t>OCCOCCOCCOCCOCCOCCOCCOCCOCCOCCO</t>
  </si>
  <si>
    <t>OCCOCCOCCOCCOCCOCCOCCOCCOCCOCCOCCO</t>
  </si>
  <si>
    <t>OCCOCCOCCOCCOCCOCCOCCOCCOCCOCCOCCOCCO</t>
  </si>
  <si>
    <t>OCCOCCOCCOCCOCCOCCOCCOCCOCCOCCOCCOCCOCCO</t>
  </si>
  <si>
    <t>OCCOCCOCCOCCOCCOCCOCCOCCOCCOCCOCCOCCOCCOCCO</t>
  </si>
  <si>
    <t>OCCOCCOCCOCCOCCOCCOCCOCCOCCOCCOCCOCCOCCOCCOCCO</t>
  </si>
  <si>
    <t>OCCOCCOCCOCCOCCOCCOCCOCCOCCOCCOCCOCCOCCOCCOCCOCCO</t>
  </si>
  <si>
    <t>OCCOCCOCCOCCOCCOCCOCCOCCOCCOCCOCCOCCOCCOCCOCCOCCOCCO</t>
  </si>
  <si>
    <t>Structure_SMILES</t>
  </si>
  <si>
    <t>OCCOCCOCCOS(=O)(=O)O</t>
  </si>
  <si>
    <t>OCCOCCOCCOCCOS(=O)(=O)O</t>
  </si>
  <si>
    <t>OCCOCCOCCOCCOCCOS(=O)(=O)O</t>
  </si>
  <si>
    <t>OCCOCCOCCOCCOCCOCCOS(=O)(=O)O</t>
  </si>
  <si>
    <t>OCCOCCOCCOCCOCCOCCOCCOS(=O)(=O)O</t>
  </si>
  <si>
    <t>OCCOCCOCCOCCOCCOCCOCCOCCOS(=O)(=O)O</t>
  </si>
  <si>
    <t>OCCOCCOCCOCCOCCOCCOCCOCCOCCOS(=O)(=O)O</t>
  </si>
  <si>
    <t>OCCOCCOCCOCCOCCOCCOCCOCCOCCOCCOS(=O)(=O)O</t>
  </si>
  <si>
    <t>OCCOCCOCCOCCOCCOCCOCCOCCOCCOCCOCCOS(=O)(=O)O</t>
  </si>
  <si>
    <t>OCCOCCOCCOCCOCCOCCOCCOCCOCCOCCOCCOCCOS(=O)(=O)O</t>
  </si>
  <si>
    <t>OCCOCCOCCOCCOCCOCCOCCOCCOCCOCCOCCOCCOCCOS(=O)(=O)O</t>
  </si>
  <si>
    <t>OCCOCCOCCOCCOCCOCCOCCOCCOCCOCCOCCOCCOCCOCCOS(=O)(=O)O</t>
  </si>
  <si>
    <t>OCCOCCOCCOCCOCCOCCOCCOCCOCCOCCOCCOCCOCCOCCOCCOS(=O)(=O)O</t>
  </si>
  <si>
    <t>OCCOCCOCCOCCOCCOCCOCCOCCOCCOCCOCCOCCOCCOCCOCCOCCOS(=O)(=O)O</t>
  </si>
  <si>
    <t>CCCCCC(c1ccc(cc1)S(=O)(=O)O)CCCC</t>
  </si>
  <si>
    <t>CCCCCCC(c1ccc(cc1)S(=O)(=O)O)CCCCC</t>
  </si>
  <si>
    <t>CCCC(c1ccc(cc1)S(=O)(=O)O)CCCCCCCCC</t>
  </si>
  <si>
    <t>CCCC(c1ccc(cc1)S(=O)(=O)O)CCCCCCCCCC</t>
  </si>
  <si>
    <t>CCCC(c1ccc(cc1)S(=O)(=O)O)CCCC(=O)O</t>
  </si>
  <si>
    <t>Oc1cccnc1</t>
  </si>
  <si>
    <t>O=C1CCCN1C</t>
  </si>
  <si>
    <t>NC(=O)N1c2ccccc2C=Cc2c1cccc2</t>
  </si>
  <si>
    <t>OC1Cc2ccccc2N(c2c1cccc2)C(=O)N</t>
  </si>
  <si>
    <t>COc1ccc(cc1)C1Sc2ccccc2N(C(=O)C1OC(=O)C)CCN(C)C</t>
  </si>
  <si>
    <t>COc1ccc(cc1)[C@@H]1Sc2ccccc2N(C(=O)[C@@H]1O)CCN(C)C</t>
  </si>
  <si>
    <t>CNCCN1C(=O)[C@H](OC(=O)C)C(Sc2c1cccc2)c1ccc(cc1)OC</t>
  </si>
  <si>
    <t>CN(CCN1c2ccccc2SC(C(C1=O)OC(=O)C)c1ccc(cc1)O)C</t>
  </si>
  <si>
    <t>CCCCc1nc(c(n1Cc1ccc(cc1)c1ccccc1c1nnn[nH]1)CO)Cl</t>
  </si>
  <si>
    <t>CCCCc1nc(c(n1Cc1ccc(cc1)c1ccccc1c1nnn[nH]1)C(=O)O)Cl</t>
  </si>
  <si>
    <t>OCCOCCN1CCN(CC1)C1=Nc2ccccc2Sc2c1cccc2</t>
  </si>
  <si>
    <t>N1CCN(CC1)C1=Nc2ccccc2Sc2c1cccc2</t>
  </si>
  <si>
    <t>N[C@H](Cc1cc(F)c(cc1F)F)CC(=O)N1CCn2c(C1)nnc2C(F)(F)F</t>
  </si>
  <si>
    <t>N#C[C@@H]1CCCN1C(=O)CNC12CC3CC(C1)CC(C2)(C3)O</t>
  </si>
  <si>
    <t>COc1ccc2c(c1)[nH]c(n2)S(=O)Cc1ncc(c(c1C)OC)C</t>
  </si>
  <si>
    <t>COc1ccc2c(c1)nc([nH]2)SCc1ncc(c(c1C)O)C</t>
  </si>
  <si>
    <t>CCCCC(=O)N([C@H](C(=O)O)C(C)C)Cc1ccc(cc1)c1ccccc1c1nnn[nH]1</t>
  </si>
  <si>
    <t>OC(=O)c1ccc(cc1)c1ccccc1c1nnn[nH]1</t>
  </si>
  <si>
    <t>NCC1(CCCCC1)CC(=O)O</t>
  </si>
  <si>
    <t>O=C1NCC2(C1)CCCCC2</t>
  </si>
  <si>
    <t>O=C1OCC(c2c1cc1c(c2)C(C(C1(C)C)C)(C)C)C</t>
  </si>
  <si>
    <t>NC(=N)NC(=O)N</t>
  </si>
  <si>
    <t>CCCCC(=O)NC1(CCCC1)C(=O)NCc1ccc(cc1)c1ccccc1c1nnn[nH]1</t>
  </si>
  <si>
    <t>NC(C(=O)O)Cc1ccccc1</t>
  </si>
  <si>
    <t>N#Cc1c(O)c(Cl)c(c(c1Cl)C#N)Cl</t>
  </si>
  <si>
    <t>FC(C(C(C(C(S(=O)(=O)O)(F)F)(F)F)(F)F)(F)F)(C(C(C(F)(F)F)(F)F)(F)F)F</t>
  </si>
  <si>
    <t>FC(C(C(C(C(C(S(=O)(=O)O)(Cl)F)(F)F)(F)F)(F)F)(F)F)(F)F</t>
  </si>
  <si>
    <t>FC(C(C(C(C(S(=O)(=O)O)(Cl)F)(F)F)(F)F)(F)F)(C(C(C(F)(F)F)(F)F)(F)F)F</t>
  </si>
  <si>
    <t>FC(OC(C(C(C(C(S(=O)(=O)O)(F)F)(F)F)(F)F)(F)F)(F)F)(F)F</t>
  </si>
  <si>
    <t>O=C(C(C(C(C(C(C(S(=O)(=O)O)(F)F)(F)F)(F)F)(F)F)(F)F)(F)F)C(F)(F)F</t>
  </si>
  <si>
    <t>N#Cc1ccc2c(c1)COC2(CCCN(C)C)c1ccc(cc1)F</t>
  </si>
  <si>
    <t>CN(CCCC1(OCc2c1ccc(c2)C(=O)N)c1ccc(cc1)F)C</t>
  </si>
  <si>
    <t>CN(CCCC1(OCc2c1ccc(c2)C(=O)O)c1ccc(cc1)F)C</t>
  </si>
  <si>
    <t>N#Cc1ccc2c(c1)COC2(CCC[N+](C)(C)[O-])c1ccc(cc1)F</t>
  </si>
  <si>
    <t>CNCCCC1(OCc2c1ccc(c2)C#N)c1ccc(cc1)F</t>
  </si>
  <si>
    <t>N#Cc1ccc2c(c1)C(=O)OC2(CCCN(C)C)c1ccc(cc1)F</t>
  </si>
  <si>
    <t>OC(COc1ccc(cc1)CC(=O)N)CNC(C)C</t>
  </si>
  <si>
    <t>COCCc1ccc(cc1)OCC(CNC(C)C)O</t>
  </si>
  <si>
    <t>OC(COc1ccc(cc1)CC(=O)O)CNC(C)C</t>
  </si>
  <si>
    <t>CCNc1nc(NC(C)C)nc(n1)Cl</t>
  </si>
  <si>
    <t>CCNc1nc(NC(C)C)nc(n1)O</t>
  </si>
  <si>
    <t>OC(=O)Cc1ccccc1Nc1c(Cl)cccc1Cl</t>
  </si>
  <si>
    <t>O=C(N(C)C)Nc1ccc(cc1)C(C)C</t>
  </si>
  <si>
    <t>Nc1ccc(cc1)S(=O)(=O)Nc1noc(c1)C</t>
  </si>
  <si>
    <t>CCNc1nc(Cl)nc(n1)NC(C)(C)C</t>
  </si>
  <si>
    <t>Nc1nc(nc(n1)Cl)NC(C)(C)C</t>
  </si>
  <si>
    <t>COc1cccc(c1)[C@@]1(O)CCCC[C@@H]1CN(C)C</t>
  </si>
  <si>
    <t>COc1cccc(c1)[C@@]1(O)CCCC[C@@H]1C[N+](C)(C)[O-]</t>
  </si>
  <si>
    <t>COc1ccc(cc1)C(C1(O)CCCCC1)CN(C)C</t>
  </si>
  <si>
    <t>CNCC(C1(O)CCCCC1)c1ccc(cc1)OC</t>
  </si>
  <si>
    <t>CN(CC(C1(O)CCCCC1)c1ccc(cc1)O)C</t>
  </si>
  <si>
    <t>c1ccc2c(c1)[nH]nn2</t>
  </si>
  <si>
    <t>OC(=O)c1ccc2c(c1)[nH]nn2</t>
  </si>
  <si>
    <t>OS(=O)(=O)c1nc2c(s1)cccc2</t>
  </si>
  <si>
    <t>O=[N+]([O-])c1cccc(c1)S(=O)(=O)O</t>
  </si>
  <si>
    <t>Oc1ccc(cc1)S(=O)(=O)O</t>
  </si>
  <si>
    <t>CC(c1ccc(cc1)S(=O)(=O)O)C</t>
  </si>
  <si>
    <t>OC(=O)COc1ccccc1</t>
  </si>
  <si>
    <t>CCCCCCCCCc1ccc(cc1)O</t>
  </si>
  <si>
    <t>CC(c1ccc(cc1)O)(c1ccc(cc1)O)C</t>
  </si>
  <si>
    <t>FC(C(C(F)(F)F)(c1ccc(cc1)O)c1ccc(cc1)O)(F)F</t>
  </si>
  <si>
    <t>Oc1ccc(cc1)C(c1ccc(cc1)O)(c1ccccc1)C</t>
  </si>
  <si>
    <t>CCC(c1ccc(cc1)O)(c1ccc(cc1)O)C</t>
  </si>
  <si>
    <t>Oc1ccc(cc1)C(c1ccc(cc1)O)(c1ccccc1)c1ccccc1</t>
  </si>
  <si>
    <t>Oc1ccc(cc1C)C(c1ccc(c(c1)C)O)(C)C</t>
  </si>
  <si>
    <t>CC(c1ccc(cc1)O)c1ccc(cc1)O</t>
  </si>
  <si>
    <t>Oc1ccc(cc1)Cc1ccc(cc1)O</t>
  </si>
  <si>
    <t>Oc1ccccc1Cc1ccccc1O</t>
  </si>
  <si>
    <t>Oc1ccc(cc1)C1(c2ccc(cc2)O)c2ccccc2c2c1cccc2</t>
  </si>
  <si>
    <t>CC(c1cc(ccc1O)C(c1ccc(c(c1)C(C)C)O)(C)C)C</t>
  </si>
  <si>
    <t>CC(c1ccc(cc1)O)(c1cccc(c1)C(c1ccc(cc1)O)(C)C)C</t>
  </si>
  <si>
    <t>CC(c1ccc(cc1)O)(c1ccc(cc1)C(c1ccc(cc1)O)(C)C)C</t>
  </si>
  <si>
    <t>Oc1ccc(cc1)S(=O)(=O)c1ccc(cc1)O</t>
  </si>
  <si>
    <t>CC1CC(C)(C)CC(C1)(c1ccc(cc1)O)c1ccc(cc1)O</t>
  </si>
  <si>
    <t>Oc1ccc(cc1)C1(CCCCC1)c1ccc(cc1)O</t>
  </si>
  <si>
    <t>CC(c1cc(Br)c(c(c1)Br)O)(c1cc(Br)c(c(c1)Br)O)C</t>
  </si>
  <si>
    <t>O=C1C=C(C)OS(=O)(=O)N1</t>
  </si>
  <si>
    <t>ClCC1OC(C(C1O)O)(CCl)OC1OC(CO)C(C(C1O)O)Cl</t>
  </si>
  <si>
    <t>CCCCCCCCc1ccc(cc1)O</t>
  </si>
  <si>
    <t>CC(c1ccc(cc1)O)(CC(C)(C)C)C</t>
  </si>
  <si>
    <t>NA</t>
  </si>
  <si>
    <t>logP (Predicted ACD/LabS)</t>
  </si>
  <si>
    <t>logkow (EPI Suite)</t>
  </si>
  <si>
    <t>WWTP_influent_DI</t>
  </si>
  <si>
    <t>WWTP_Effluent_DI</t>
  </si>
  <si>
    <t>WWTP_influent_Concentreted</t>
  </si>
  <si>
    <t>WWTP_Effluent_Concentreted</t>
  </si>
  <si>
    <t>River sample_Logan</t>
  </si>
  <si>
    <t>QAEHS (The University of Queensland)</t>
  </si>
  <si>
    <t>Logan STG PE test_20160720_pos_062 (pos)   LoganSTG_WWP_Neg_201607221_061 (neg)</t>
  </si>
  <si>
    <t>Logan STG PE test_20160720_pos_061 (pos) LoganSTG_WWP_Neg_201607221_061 (neg)</t>
  </si>
  <si>
    <t>LoganSTG PEtest_20160720_pos_031 (pos)   Logan STG WWTP_Neg_201607221_031 (neg)</t>
  </si>
  <si>
    <t xml:space="preserve">LoganSTG PEtest_20160720_pos_018 (pos)                                                                             Logan STG WWTP_Neg_201607221_018 (neg) </t>
  </si>
  <si>
    <t xml:space="preserve">140820_posNT_logan_015 (pos)   140821_negNT_logan_015 (neg)    </t>
  </si>
  <si>
    <t>WWTP influent, Direct injection</t>
  </si>
  <si>
    <t>WWTP effluent, Direct injection</t>
  </si>
  <si>
    <t>WWTP influent, Extracted</t>
  </si>
  <si>
    <t>WWTP effluent, Extracted</t>
  </si>
  <si>
    <t>River sample, SPE</t>
  </si>
  <si>
    <t>600 ul/min (neg) / 400 ul/min (pos)</t>
  </si>
  <si>
    <t>Data independent</t>
  </si>
  <si>
    <t xml:space="preserve">LC: Shimadzu Nexera X2 UHPLC  / LC: Sciex 5600 TripleTOF </t>
  </si>
  <si>
    <t xml:space="preserve">Biphenyl Kinetex 2.6 µm XB-C18 100 Å, LC Column 50 x 2.1 mm (Phenomenex) and Alltima™ C18, 5µm, 250 x 4.6mm reverse phase guard column  </t>
  </si>
  <si>
    <t>A: ultrapure water + 0.1% formic acid; B: MeOH + 0.1% formic acid</t>
  </si>
  <si>
    <t>NEG: (A) methanol:water (99:1, v/v); and (B) methanol:water (90:10, v/v); with 5mM ammonium acetate / POS: (A) 100% ultrapure water; (B) methanol, with 0.1% formic acid in both phases</t>
  </si>
  <si>
    <t>5% B (Curve =2), hold for 10 min, 100% B, hold for 4.5 min, 5% B.</t>
  </si>
  <si>
    <t>NEG: 0min, 10%B; 0.2min, 10%B; 6.50min, 100%B; 9.50min 100%B; 9.6min, 10%B followed by equilibration at initial conditions for 2.20min / POS: 0min, 5%B; 0.2min, 5%B; 10.2min, 100%B; 14.7min 100%B; 14.9min, 10%B followed by equilibration at initial conditions for 2.20min</t>
  </si>
  <si>
    <r>
      <t>NEG: reverse-phase XDB-C18 analytical column (4.6×50 mm, 1.8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m; Agilent) / POS: XDB-C18 column (2.1×100 mm, 1.8 um; Agilent)</t>
    </r>
  </si>
  <si>
    <t>Lock Mass every 2 minutes</t>
  </si>
  <si>
    <t>Initial 13% mobile phase B increasing to 95%, with 15-minute analysis time</t>
  </si>
  <si>
    <t>[A] 5 mM ammonium formate, pH 3.0, [B] 0.1% formic acid in
acetonitrile</t>
  </si>
  <si>
    <t>Acquity UPLC HSS C18, 1.8µm, 150 x 2.1 mm</t>
  </si>
  <si>
    <t>Waters Acquity UPLC, Waters Xevo G2-S QTOF</t>
  </si>
  <si>
    <t>Iceland</t>
  </si>
  <si>
    <t>Denmark</t>
  </si>
  <si>
    <t>Sweden</t>
  </si>
  <si>
    <t>Wastewater efluent - 24 hour composite</t>
  </si>
  <si>
    <t>NIVA (Malcolm Reid)</t>
  </si>
  <si>
    <t>Effluent - Island</t>
  </si>
  <si>
    <t>Effluent - Danmark</t>
  </si>
  <si>
    <t>Effluent - Sverige</t>
  </si>
  <si>
    <t>Effluent - Finland</t>
  </si>
  <si>
    <t>VEAS Outlet_4</t>
  </si>
  <si>
    <t>Effluent - Danmark.raw</t>
  </si>
  <si>
    <t>Effluent - Finland.raw</t>
  </si>
  <si>
    <t>Effluent - Island.raw</t>
  </si>
  <si>
    <t>Effluent - Sverige.raw</t>
  </si>
  <si>
    <t>VEAS Outlet_4.raw</t>
  </si>
  <si>
    <t>Sample</t>
  </si>
  <si>
    <t>Matrix</t>
  </si>
  <si>
    <t>Country</t>
  </si>
  <si>
    <t>Micropoll 17 Blind</t>
  </si>
  <si>
    <t>Micropoll 18 ZWI</t>
  </si>
  <si>
    <t>Micropoll 19 WIN</t>
  </si>
  <si>
    <t>Micropoll 20 ZUE</t>
  </si>
  <si>
    <t>Micropoll 21 THA</t>
  </si>
  <si>
    <t>Micropoll 22 UET</t>
  </si>
  <si>
    <t>Micropoll 23 BIO</t>
  </si>
  <si>
    <t>Micropoll 27 VER</t>
  </si>
  <si>
    <t>Micropoll 28 BUS</t>
  </si>
  <si>
    <t>Micropoll 29 HAL</t>
  </si>
  <si>
    <t>Micropoll 30 ZUG</t>
  </si>
  <si>
    <t>JDS57 Ruse/Giurgio</t>
  </si>
  <si>
    <t>Furtbach</t>
  </si>
  <si>
    <t>Blank Furtbach</t>
  </si>
  <si>
    <t>Doubs</t>
  </si>
  <si>
    <t>Blank Doubs</t>
  </si>
  <si>
    <t>Rhine Albruck</t>
  </si>
  <si>
    <t>Rhine Weil</t>
  </si>
  <si>
    <t>Blank Rhine</t>
  </si>
  <si>
    <t>Influent Athens</t>
  </si>
  <si>
    <t>Effluent Athens_2015</t>
  </si>
  <si>
    <t>Sludge Athens</t>
  </si>
  <si>
    <t xml:space="preserve">Seawater Athens </t>
  </si>
  <si>
    <t>GW Vall d'Uixo</t>
  </si>
  <si>
    <t>EWW Vall D'Uixo</t>
  </si>
  <si>
    <t>EWW Quart-Benager</t>
  </si>
  <si>
    <t>Effluent Athens 2014</t>
  </si>
  <si>
    <t>Influent Mexico</t>
  </si>
  <si>
    <t>Blank Eijsden, Meuse River</t>
  </si>
  <si>
    <t>Ground Water KWR</t>
  </si>
  <si>
    <t>Eijsden, Meuse River2</t>
  </si>
  <si>
    <t>Blank Vecht</t>
  </si>
  <si>
    <t>Blank ljssel</t>
  </si>
  <si>
    <t>Ground Water Ijssel</t>
  </si>
  <si>
    <t>Influent Logan</t>
  </si>
  <si>
    <t>Effluent Logan</t>
  </si>
  <si>
    <t>River Logan</t>
  </si>
  <si>
    <t>Effluent Norway</t>
  </si>
  <si>
    <t>Effluent Finland</t>
  </si>
  <si>
    <t>Effluent Sweden</t>
  </si>
  <si>
    <t>Effluent Denmark</t>
  </si>
  <si>
    <t>Effluent Iceland</t>
  </si>
  <si>
    <t>Dataset Number</t>
  </si>
  <si>
    <t>Influent Logan Concentrated</t>
  </si>
  <si>
    <t>Effluent Logan Concentrated</t>
  </si>
  <si>
    <t>Eijsden, Meuse River Concentrion factor x100</t>
  </si>
  <si>
    <t>Eijsden, Meuse River Concentration factor x200</t>
  </si>
  <si>
    <t>Eawag</t>
  </si>
  <si>
    <t>University of Athens</t>
  </si>
  <si>
    <t>Universitat Jaume I</t>
  </si>
  <si>
    <t>RWS</t>
  </si>
  <si>
    <t>KWR</t>
  </si>
  <si>
    <t>Vitens</t>
  </si>
  <si>
    <t>NIVA</t>
  </si>
  <si>
    <t>Institution</t>
  </si>
  <si>
    <t>Reference Study</t>
  </si>
  <si>
    <t>400 ul/min</t>
  </si>
  <si>
    <t>200 uL/min</t>
  </si>
  <si>
    <t>Furtback, Switzerland</t>
  </si>
  <si>
    <t>Switzerland (Albruck)</t>
  </si>
  <si>
    <t>Switzerland (Weil)</t>
  </si>
  <si>
    <t>Greece, Psyttalia WWTP</t>
  </si>
  <si>
    <t>Spain (Castellon)</t>
  </si>
  <si>
    <t>Spain (Valencia)</t>
  </si>
  <si>
    <t>Netherlands, Vecht River</t>
  </si>
  <si>
    <t>Netherlands, Ljssel River</t>
  </si>
  <si>
    <t>Australia, Brisbane</t>
  </si>
  <si>
    <t>Norway, Oslo</t>
  </si>
  <si>
    <t>Finland</t>
  </si>
  <si>
    <t>Netherlands, Meuse River, Eijsden station</t>
  </si>
  <si>
    <t>Netherlands, Meuse River, Eujsden station</t>
  </si>
  <si>
    <t>Doubs, Switerland (Location Ocourt)</t>
  </si>
  <si>
    <t>Netherland, Meuse River, Eijsden station</t>
  </si>
  <si>
    <t>SuspectID</t>
  </si>
  <si>
    <t>Name</t>
  </si>
  <si>
    <t>ShortName</t>
  </si>
  <si>
    <t>CAS_No</t>
  </si>
  <si>
    <t>CAS_No2</t>
  </si>
  <si>
    <t>Structure_InChI</t>
  </si>
  <si>
    <t>Structure_InChIKey</t>
  </si>
  <si>
    <t>Ionisation_mode</t>
  </si>
  <si>
    <t>Neutral_Exact_Mass</t>
  </si>
  <si>
    <t>Fragment_1</t>
  </si>
  <si>
    <t>Fragment_2</t>
  </si>
  <si>
    <t>Fragment_3</t>
  </si>
  <si>
    <t>CE</t>
  </si>
  <si>
    <t>Fragmentation_type</t>
  </si>
  <si>
    <t>RT_min</t>
  </si>
  <si>
    <t>LC_column</t>
  </si>
  <si>
    <t>LC_eluent</t>
  </si>
  <si>
    <t>LC_gradient</t>
  </si>
  <si>
    <t>Monoiso_mass</t>
  </si>
  <si>
    <t>MpHp_mass</t>
  </si>
  <si>
    <t>MpNH4_mass</t>
  </si>
  <si>
    <t>MpNa_mass</t>
  </si>
  <si>
    <t>MmHm_mass</t>
  </si>
  <si>
    <t>PubChemID</t>
  </si>
  <si>
    <t>ChemSpiderID</t>
  </si>
  <si>
    <t>CDK_AlogP</t>
  </si>
  <si>
    <t>CDK_XlogP</t>
  </si>
  <si>
    <t>RT_fromXlogP</t>
  </si>
  <si>
    <t>Suspect</t>
  </si>
  <si>
    <t>2-(2-(dodecyloxy)ethoxy)ethanol</t>
  </si>
  <si>
    <t>3055-93-4</t>
  </si>
  <si>
    <t>InChI=1S/C16H34O3/c1-2-3-4-5-6-7-8-9-10-11-13-18-15-16-19-14-12-17/h17H,2-16H2,1H3</t>
  </si>
  <si>
    <t>AZLWQVJVINEILY-UHFFFAOYSA-N</t>
  </si>
  <si>
    <t>CID</t>
  </si>
  <si>
    <t>Acclaim RSLC C18 column (2.1 x 100 mm, 2.2 µm)</t>
  </si>
  <si>
    <t>A= 90:10 water:methanol + 5mM ammonium formate + 0.01% formic acid; B= methanol + 5mM ammonium formate + 0.01% formic acid</t>
  </si>
  <si>
    <t>1%B(0);39%B(3);99%B(14);99%B(16);1%B(16.1);1%B(19)</t>
  </si>
  <si>
    <t>2-{2-[2-(Dodecyloxy)ethoxy]ethoxy}ethanol</t>
  </si>
  <si>
    <t>3055-93-5</t>
  </si>
  <si>
    <t>InChI=1S/C18H38O4/c1-2-3-4-5-6-7-8-9-10-11-13-20-15-17-22-18-16-21-14-12-19/h19H,2-18H2,1H3</t>
  </si>
  <si>
    <t>FKMHSNTVILORFA-UHFFFAOYSA-N</t>
  </si>
  <si>
    <t>3,6,9,12-Tetraoxatetracosan-1-ol</t>
  </si>
  <si>
    <t>9002-92-0</t>
  </si>
  <si>
    <t>InChI=1S/C20H42O5/c1-2-3-4-5-6-7-8-9-10-11-13-22-15-17-24-19-20-25-18-16-23-14-12-21/h21H,2-20H2,1H3</t>
  </si>
  <si>
    <t>WPMWEFXCIYCJSA-UHFFFAOYSA-N</t>
  </si>
  <si>
    <t>3,6,9,12,15-Pentaoxaheptacosan-1-ol</t>
  </si>
  <si>
    <t>3055-95-6</t>
  </si>
  <si>
    <t>136561-93-8</t>
  </si>
  <si>
    <t>InChI=1S/C22H46O6/c1-2-3-4-5-6-7-8-9-10-11-13-24-15-17-26-19-21-28-22-20-27-18-16-25-14-12-23/h23H,2-22H2,1H3</t>
  </si>
  <si>
    <t>LAPRIVJANDLWOK-UHFFFAOYSA-N</t>
  </si>
  <si>
    <t>3,6,9,12,15,18-hexaoxahexacosan-1-ol</t>
  </si>
  <si>
    <t>3055-96-7</t>
  </si>
  <si>
    <t>InChI=1S/C24H50O7/c1-2-3-4-5-6-7-8-9-10-11-13-26-15-17-28-19-21-30-23-24-31-22-20-29-18-16-27-14-12-25/h25H,2-24H2,1H3</t>
  </si>
  <si>
    <t>OJCFEGKCRWEVSN-UHFFFAOYSA-N</t>
  </si>
  <si>
    <t>3,6,9,12,15,18,21-Heptaoxatritriacontan-1-ol</t>
  </si>
  <si>
    <t>3055-97-8</t>
  </si>
  <si>
    <t>31736-97-7</t>
  </si>
  <si>
    <t>InChI=1S/C26H54O8/c1-2-3-4-5-6-7-8-9-10-11-13-28-15-17-30-19-21-32-23-25-34-26-24-33-22-20-31-18-16-29-14-12-27/h27H,2-26H2,1H3</t>
  </si>
  <si>
    <t>DWHIUNMOTRUVPG-UHFFFAOYSA-N</t>
  </si>
  <si>
    <t>3,6,9,12,15,18,21,24-Octaoxahexatriacontan-1-ol</t>
  </si>
  <si>
    <t>3055-98-9</t>
  </si>
  <si>
    <t>InChI=1S/C28H58O9/c1-2-3-4-5-6-7-8-9-10-11-13-30-15-17-32-19-21-34-23-25-36-27-28-37-26-24-35-22-20-33-18-16-31-14-12-29/h29H,2-28H2,1H3</t>
  </si>
  <si>
    <t>YYELLDKEOUKVIQ-UHFFFAOYSA-N</t>
  </si>
  <si>
    <t>3,6,9,12,15,18,21,24,27-Nonaoxanonatriacontan-1-ol</t>
  </si>
  <si>
    <t>3055-99-0</t>
  </si>
  <si>
    <t>9043-30-5</t>
  </si>
  <si>
    <t>InChI=1S/C30H62O10/c1-2-3-4-5-6-7-8-9-10-11-13-32-15-17-34-19-21-36-23-25-38-27-29-40-30-28-39-26-24-37-22-20-35-18-16-33-14-12-31/h31H,2-30H2,1H3</t>
  </si>
  <si>
    <t>ONJQDTZCDSESIW-UHFFFAOYSA-N</t>
  </si>
  <si>
    <t>3,6,9,12,15,18,21,24,27,30-Decaoxadotetracontan-1-ol</t>
  </si>
  <si>
    <t>6540-99-4</t>
  </si>
  <si>
    <t>InChI=1S/C32H66O11/c1-2-3-4-5-6-7-8-9-10-11-13-34-15-17-36-19-21-38-23-25-40-27-29-42-31-32-43-30-28-41-26-24-39-22-20-37-18-16-35-14-12-33/h33H,2-32H2,1H3</t>
  </si>
  <si>
    <t>KOMQWDINDMFMPD-UHFFFAOYSA-N</t>
  </si>
  <si>
    <t>3,6,9,12,15,18,21,24,27,30,33-Undecaoxapentatetracontan-1-ol</t>
  </si>
  <si>
    <t>25763-63-7</t>
  </si>
  <si>
    <t>InChI=1S/C34H70O12/c1-2-3-4-5-6-7-8-9-10-11-13-36-15-17-38-19-21-40-23-25-42-27-29-44-31-33-46-34-32-45-30-28-43-26-24-41-22-20-39-18-16-37-14-12-35/h35H,2-34H2,1H3</t>
  </si>
  <si>
    <t>QEZQGPFAVAAYQT-UHFFFAOYSA-N</t>
  </si>
  <si>
    <t>3,6,9,12,15,18,21,24,27,30,33,36-Dodecaoxaoctatetracontan-1-ol</t>
  </si>
  <si>
    <t>3056-00-6</t>
  </si>
  <si>
    <t>31737-02-7</t>
  </si>
  <si>
    <t>InChI=1S/C36H74O13/c1-2-3-4-5-6-7-8-9-10-11-13-38-15-17-40-19-21-42-23-25-44-27-29-46-31-33-48-35-36-49-34-32-47-30-28-45-26-24-43-22-20-41-18-16-39-14-12-37/h37H,2-36H2,1H3</t>
  </si>
  <si>
    <t>WMPGRAUYWYBJKX-UHFFFAOYSA-N</t>
  </si>
  <si>
    <t>3,6,9,12,15,18,21,24,27,30,33,36,39-tridecaoxahenpentacontan-1-ol</t>
  </si>
  <si>
    <t>InChI=1S/C38H78O14/c1-2-3-4-5-6-7-8-9-10-11-13-40-15-17-42-19-21-44-23-25-46-27-29-48-31-33-50-35-37-52-38-36-51-34-32-49-30-28-47-26-24-45-22-20-43-18-16-41-14-12-39/h39H,2-38H2,1H3</t>
  </si>
  <si>
    <t>QOAOXEXLYDNOBL-UHFFFAOYSA-N</t>
  </si>
  <si>
    <t>3,6,9,12,15,18,21,24,27,30,33,36,39,42-tetradecaoxatetrapentacontan-1-ol</t>
  </si>
  <si>
    <t>InChI=1S/C40H82O15/c1-3-5-7-9-11-41-13-15-43-17-19-45-21-23-47-25-27-49-29-31-51-33-35-53-37-39-55-40-38-54-36-34-52-32-30-50-28-26-48-24-22-46-20-18-44-16-14-42-12-10-8-6-4-2/h3-40H2,1-2H3</t>
  </si>
  <si>
    <t>PPMWSSPEDSJIAS-UHFFFAOYSA-N</t>
  </si>
  <si>
    <t>3,6,9,12,15,18,21,24,27,30,33,36,39,42,45-pentadecaoxaheptapentacontan-1-ol</t>
  </si>
  <si>
    <t>InChI=1S/C42H86O16/c1-2-3-4-5-6-7-8-9-10-11-13-44-15-17-46-19-21-48-23-25-50-27-29-52-31-33-54-35-37-56-39-41-58-42-40-57-38-36-55-34-32-53-30-28-51-26-24-49-22-20-47-18-16-45-14-12-43/h43H,2-42H2,1H3</t>
  </si>
  <si>
    <t>VFZBRAARIDAFGK-UHFFFAOYSA-N</t>
  </si>
  <si>
    <t>3,6,9,12,15,18,21,24,27,30,33,36,39,42,45,48-hexadecaoxahexacontan-1-ol</t>
  </si>
  <si>
    <t>20236-64-0</t>
  </si>
  <si>
    <t>InChI=1S/C44H90O17/c1-2-3-4-5-6-7-8-9-10-11-13-46-15-17-48-19-21-50-23-25-52-27-29-54-31-33-56-35-37-58-39-41-60-43-44-61-42-40-59-38-36-57-34-32-55-30-28-53-26-24-51-22-20-49-18-16-47-14-12-45/h45H,2-44H2,1H3</t>
  </si>
  <si>
    <t>SCHZNTAOTOHPSS-UHFFFAOYSA-N</t>
  </si>
  <si>
    <t>3,6,9,12,15,18,21,24,27,30,33,36,39,42,45,48,51-heptadecaoxatrihexacontan-1-ol</t>
  </si>
  <si>
    <t>InChI=1S/C46H94O18/c1-2-3-4-5-6-7-8-9-10-11-13-48-15-17-50-19-21-52-23-25-54-27-29-56-31-33-58-35-37-60-39-41-62-43-45-64-46-44-63-42-40-61-38-36-59-34-32-57-30-28-55-26-24-53-22-20-51-18-16-49-14-12-47/h47H,2-46H2,1H3</t>
  </si>
  <si>
    <t>QRGYUDOXWYOHFL-UHFFFAOYSA-N</t>
  </si>
  <si>
    <t>3,6,9,12,15,18,21,24,27,30,33,36,39,42,45,48,51,54-octadecaoxahexahexacontan-1-ol</t>
  </si>
  <si>
    <t>InChI=1S/C48H98O19/c1-2-3-4-5-6-7-8-9-10-11-13-50-15-17-52-19-21-54-23-25-56-27-29-58-31-33-60-35-37-62-39-41-64-43-45-66-47-48-67-46-44-65-42-40-63-38-36-61-34-32-59-30-28-57-26-24-55-22-20-53-18-16-51-14-12-49/h49H,2-48H2,1H3</t>
  </si>
  <si>
    <t>HDDNXNUAMWOCAI-UHFFFAOYSA-N</t>
  </si>
  <si>
    <t>2,2'-((oxybis(ethane-2,1-diyl))bis(oxy))diethanol (PEG-4)</t>
  </si>
  <si>
    <t>112-60-7</t>
  </si>
  <si>
    <t>InChI=1S/C8H18O5/c9-1-3-11-5-7-13-8-6-12-4-2-10/h9-10H,1-8H2</t>
  </si>
  <si>
    <t>UWHCKJMYHZGTIT-UHFFFAOYSA-N</t>
  </si>
  <si>
    <t>3,6,9,12-tetraoxatetradecane-1,14-diol PEG-5)</t>
  </si>
  <si>
    <t>4792-15-8</t>
  </si>
  <si>
    <t>InChI=1S/C10H22O6/c11-1-3-13-5-7-15-9-10-16-8-6-14-4-2-12/h11-12H,1-10H2</t>
  </si>
  <si>
    <t>JLFNLZLINWHATN-UHFFFAOYSA-N</t>
  </si>
  <si>
    <t>3,6,9,12,15-pentaoxaheptadecane-1,17-diol (PEG-6)</t>
  </si>
  <si>
    <t>2615-15-8</t>
  </si>
  <si>
    <t>InChI=1S/C12H26O7/c13-1-3-15-5-7-17-9-11-19-12-10-18-8-6-16-4-2-14/h13-14H,1-12H2</t>
  </si>
  <si>
    <t>IIRDTKBZINWQAW-UHFFFAOYSA-N</t>
  </si>
  <si>
    <t>3,6,9,12,15,18-Hexaoxaicosane-1,20-diol (PEG-7)</t>
  </si>
  <si>
    <t>5617-32-3</t>
  </si>
  <si>
    <t>5770-28-5</t>
  </si>
  <si>
    <t>InChI=1S/C14H30O8/c15-1-3-17-5-7-19-9-11-21-13-14-22-12-10-20-8-6-18-4-2-16/h15-16H,1-14H2</t>
  </si>
  <si>
    <t>XPJRQAIZZQMSCM-UHFFFAOYSA-N</t>
  </si>
  <si>
    <t>3,6,9,12,15,18,21-heptaoxatricosane-1,23-diol (PEG-8)</t>
  </si>
  <si>
    <t>52549-17-4</t>
  </si>
  <si>
    <t>InChI=1S/C16H34O9/c17-1-3-19-5-7-21-9-11-23-13-15-25-16-14-24-12-10-22-8-6-20-4-2-18/h17-18H,1-16H2</t>
  </si>
  <si>
    <t>GLZWNFNQMJAZGY-UHFFFAOYSA-N</t>
  </si>
  <si>
    <t>3,6,9,12,15,18,21,24-octaoxahexacosane-1,26-diol (PEG-9)</t>
  </si>
  <si>
    <t>6155-96-0</t>
  </si>
  <si>
    <t>InChI=1S/C18H38O10/c19-1-3-21-5-7-23-9-11-25-13-15-27-17-18-28-16-14-26-12-10-24-8-6-22-4-2-20/h19-20H,1-18H2</t>
  </si>
  <si>
    <t>YZUUTMGDONTGTN-UHFFFAOYSA-N</t>
  </si>
  <si>
    <t>3,6,9,12,15,18,21,24,27-nonaoxanonacosane-1,29-diol (PEG-10)</t>
  </si>
  <si>
    <t>5579-66-8</t>
  </si>
  <si>
    <t>InChI=1S/C20H42O11/c21-1-3-23-5-7-25-9-11-27-13-15-29-17-19-31-20-18-30-16-14-28-12-10-26-8-6-24-4-2-22/h21-22H,1-20H2</t>
  </si>
  <si>
    <t>DTPCFIHYWYONMD-UHFFFAOYSA-N</t>
  </si>
  <si>
    <t>3,6,9,12,15,18,21,24,27,30-decaoxadotriacontane-1,32-diol (PEG-11)</t>
  </si>
  <si>
    <t>6891-45-8</t>
  </si>
  <si>
    <t>InChI=1S/C22H46O12/c23-1-3-25-5-7-27-9-11-29-13-15-31-17-19-33-21-22-34-20-18-32-16-14-30-12-10-28-8-6-26-4-2-24/h23-24H,1-22H2</t>
  </si>
  <si>
    <t>PSVXZQVXSXSQRO-UHFFFAOYSA-N</t>
  </si>
  <si>
    <t>3,6,9,12,15,18,21,24,27,30,33-undecaoxapentatriacontane-1,35-diol (PEG-12)</t>
  </si>
  <si>
    <t>6790-09-6</t>
  </si>
  <si>
    <t>InChI=1S/C24H50O13/c25-1-3-27-5-7-29-9-11-31-13-15-33-17-19-35-21-23-37-24-22-36-20-18-34-16-14-32-12-10-30-8-6-28-4-2-26/h25-26H,1-24H2</t>
  </si>
  <si>
    <t>WRZXKWFJEFFURH-UHFFFAOYSA-N</t>
  </si>
  <si>
    <t>3,6,9,12,15,18,21,24,27,30,33,36-dodecaoxaoctatriacontane-1,38-diol (PEG-13)</t>
  </si>
  <si>
    <t>178979-40-3</t>
  </si>
  <si>
    <t>InChI=1S/C26H54O14/c27-1-3-29-5-7-31-9-11-33-13-15-35-17-19-37-21-23-39-25-26-40-24-22-38-20-18-36-16-14-34-12-10-32-8-6-30-4-2-28/h27-28H,1-26H2</t>
  </si>
  <si>
    <t>AKWFJQNBHYVIPY-UHFFFAOYSA-N</t>
  </si>
  <si>
    <t>3,6,9,12,15,18,21,24,27,30,33,36,39-tridecaoxahentetracontane-1,41-diol (PEG-14)</t>
  </si>
  <si>
    <t>67411-64-7</t>
  </si>
  <si>
    <t>InChI=1S/C28H58O15/c29-1-3-31-5-7-33-9-11-35-13-15-37-17-19-39-21-23-41-25-27-43-28-26-42-24-22-40-20-18-38-16-14-36-12-10-34-8-6-32-4-2-30/h29-30H,1-28H2</t>
  </si>
  <si>
    <t>ILLKMACMBHTSHP-UHFFFAOYSA-N</t>
  </si>
  <si>
    <t>3,6,9,12,15,18,21,24,27,30,33,36,39,42-tetradecaoxatetratetracontane-1,44-diol (PEG-15)</t>
  </si>
  <si>
    <t>2969-16-6</t>
  </si>
  <si>
    <t>InChI=1S/C30H62O16/c31-1-3-33-5-7-35-9-11-37-13-15-39-17-19-41-21-23-43-25-27-45-29-30-46-28-26-44-24-22-42-20-18-40-16-14-38-12-10-36-8-6-34-4-2-32/h31-32H,1-30H2</t>
  </si>
  <si>
    <t>OWTQQPNDSWCHOV-UHFFFAOYSA-N</t>
  </si>
  <si>
    <t>3,6,9,12,15,18,21,24,27,30,33,36,39,42,45-pentadecaoxaheptatetracontane-1,47-diol (PEG-16)</t>
  </si>
  <si>
    <t>6812-36-8</t>
  </si>
  <si>
    <t>InChI=1S/C32H66O17/c33-1-3-35-5-7-37-9-11-39-13-15-41-17-19-43-21-23-45-25-27-47-29-31-49-32-30-48-28-26-46-24-22-44-20-18-42-16-14-40-12-10-38-8-6-36-4-2-34/h33-34H,1-32H2</t>
  </si>
  <si>
    <t>DHORSBRLGKJPFC-UHFFFAOYSA-N</t>
  </si>
  <si>
    <t>3,6,9,12,15,18,21,24,27,30,33,36,39,42,45,48-hexadecaoxapentacontane-1,50-diol (PEG-17)</t>
  </si>
  <si>
    <t>InChI=1S/C34H70O18/c35-1-3-37-5-7-39-9-11-41-13-15-43-17-19-45-21-23-47-25-27-49-29-31-51-33-34-52-32-30-50-28-26-48-24-22-46-20-18-44-16-14-42-12-10-40-8-6-38-4-2-36/h35-36H,1-34H2</t>
  </si>
  <si>
    <t>NIELXDCPHZJHGM-UHFFFAOYSA-N</t>
  </si>
  <si>
    <t>glycol ether sulfate</t>
  </si>
  <si>
    <t>InChI=1S/C6H14O7S/c7-1-2-11-3-4-12-5-6-13-14(8,9)10/h7H,1-6H2,(H,8,9,10)</t>
  </si>
  <si>
    <t>TURPNXCLLLFJAP-UHFFFAOYSA-N</t>
  </si>
  <si>
    <t>A= 90:10 water:methanol + 5mM ammonium acetate; B= methanol + 5mM ammonium acetate</t>
  </si>
  <si>
    <t>diglycol ether sulfate</t>
  </si>
  <si>
    <t>InChI=1S/C8H18O8S/c9-1-2-13-3-4-14-5-6-15-7-8-16-17(10,11)12/h9H,1-8H2,(H,10,11,12)</t>
  </si>
  <si>
    <t>VOQAOTALYZIMDB-UHFFFAOYSA-N</t>
  </si>
  <si>
    <t>14-hydroxy-3,6,9,12-tetraoxatetradecyl hydrogen sulfate (GES4)</t>
  </si>
  <si>
    <t>InChI=1S/C10H22O9S/c11-1-2-15-3-4-16-5-6-17-7-8-18-9-10-19-20(12,13)14/h11H,1-10H2,(H,12,13,14)</t>
  </si>
  <si>
    <t>QTAGYNRKPNJPPW-UHFFFAOYSA-N</t>
  </si>
  <si>
    <t>RAMP from 32-48eV</t>
  </si>
  <si>
    <t>17-hydroxy-3,6,9,12,15-pentaoxaheptadecyl hydrogen sulfate (GES5)</t>
  </si>
  <si>
    <t>InChI=1S/C12H26O10S/c13-1-2-17-3-4-18-5-6-19-7-8-20-9-10-21-11-12-22-23(14,15)16/h13H,1-12H2,(H,14,15,16)</t>
  </si>
  <si>
    <t>PIJIEBKHAHSUBU-UHFFFAOYSA-N</t>
  </si>
  <si>
    <t>pentaglycol ether sulfate</t>
  </si>
  <si>
    <t>InChI=1S/C14H30O11S/c15-1-2-19-3-4-20-5-6-21-7-8-22-9-10-23-11-12-24-13-14-25-26(16,17)18/h15H,1-14H2,(H,16,17,18)</t>
  </si>
  <si>
    <t>JDFRNFXDFNZJQH-UHFFFAOYSA-N</t>
  </si>
  <si>
    <t>hexaglycol ether sulfate</t>
  </si>
  <si>
    <t>InChI=1S/C16H34O12S/c17-1-2-21-3-4-22-5-6-23-7-8-24-9-10-25-11-12-26-13-14-27-15-16-28-29(18,19)20/h17H,1-16H2,(H,18,19,20)</t>
  </si>
  <si>
    <t>QJIJGAHDHRUUCX-UHFFFAOYSA-N</t>
  </si>
  <si>
    <t>heptaglycol ether sulfate</t>
  </si>
  <si>
    <t>InChI=1S/C18H38O13S/c19-1-2-23-3-4-24-5-6-25-7-8-26-9-10-27-11-12-28-13-14-29-15-16-30-17-18-31-32(20,21)22/h19H,1-18H2,(H,20,21,22)</t>
  </si>
  <si>
    <t>MVTDSFRJTVUNEA-UHFFFAOYSA-N</t>
  </si>
  <si>
    <t>octoglycol ether sulfate</t>
  </si>
  <si>
    <t>InChI=1S/C20H42O14S/c21-1-2-25-3-4-26-5-6-27-7-8-28-9-10-29-11-12-30-13-14-31-15-16-32-17-18-33-19-20-34-35(22,23)24/h21H,1-20H2,(H,22,23,24)</t>
  </si>
  <si>
    <t>GAZVTRDRUQJIGC-UHFFFAOYSA-N</t>
  </si>
  <si>
    <t>nonaglycol ether sulfate</t>
  </si>
  <si>
    <t>InChI=1S/C22H46O15S/c23-1-2-27-3-4-28-5-6-29-7-8-30-9-10-31-11-12-32-13-14-33-15-16-34-17-18-35-19-20-36-21-22-37-38(24,25)26/h23H,1-22H2,(H,24,25,26)</t>
  </si>
  <si>
    <t>TWHSEFKMFIDNSZ-UHFFFAOYSA-N</t>
  </si>
  <si>
    <t>decaglycol ether sulfate</t>
  </si>
  <si>
    <t>InChI=1S/C24H50O16S/c25-1-2-29-3-4-30-5-6-31-7-8-32-9-10-33-11-12-34-13-14-35-15-16-36-17-18-37-19-20-38-21-22-39-23-24-40-41(26,27)28/h25H,1-24H2,(H,26,27,28)</t>
  </si>
  <si>
    <t>SQCRLUZZBXNMHC-UHFFFAOYSA-N</t>
  </si>
  <si>
    <t>undecaglycol ether sulfate</t>
  </si>
  <si>
    <t>InChI=1S/C26H54O17S/c27-1-2-31-3-4-32-5-6-33-7-8-34-9-10-35-11-12-36-13-14-37-15-16-38-17-18-39-19-20-40-21-22-41-23-24-42-25-26-43-44(28,29)30/h27H,1-26H2,(H,28,29,30)</t>
  </si>
  <si>
    <t>WMBSLSMOHIYCHD-UHFFFAOYSA-N</t>
  </si>
  <si>
    <t>dodecaglycol ether sulfate</t>
  </si>
  <si>
    <t>InChI=1S/C28H58O18S/c29-1-2-33-3-4-34-5-6-35-7-8-36-9-10-37-11-12-38-13-14-39-15-16-40-17-18-41-19-20-42-21-22-43-23-24-44-25-26-45-27-28-46-47(30,31)32/h29H,1-28H2,(H,30,31,32)</t>
  </si>
  <si>
    <t>SVIWUJFWPZQOLP-UHFFFAOYSA-N</t>
  </si>
  <si>
    <t>44-hydroxy-3,6,9,12,15,18,21,24,27,30,33,36,39,42-tetradecaoxatetratetracontyl hydrogen sulfate (GES14)</t>
  </si>
  <si>
    <t>InChI=1S/C30H62O19S/c31-1-2-35-3-4-36-5-6-37-7-8-38-9-10-39-11-12-40-13-14-41-15-16-42-17-18-43-19-20-44-21-22-45-23-24-46-25-26-47-27-28-48-29-30-49-50(32,33)34/h31H,1-30H2,(H,32,33,34)</t>
  </si>
  <si>
    <t>RCQBUGKOJQEZDT-UHFFFAOYSA-N</t>
  </si>
  <si>
    <t>47-hydroxy-3,6,9,12,15,18,21,24,27,30,33,36,39,42,45-pentadecaoxaheptatetracontyl hydrogen sulfate (GES15)</t>
  </si>
  <si>
    <t>InChI=1S/C32H66O20S/c33-1-2-37-3-4-38-5-6-39-7-8-40-9-10-41-11-12-42-13-14-43-15-16-44-17-18-45-19-20-46-21-22-47-23-24-48-25-26-49-27-28-50-29-30-51-31-32-52-53(34,35)36/h33H,1-32H2,(H,34,35,36)</t>
  </si>
  <si>
    <t>KVUPPACHFYWTQZ-UHFFFAOYSA-N</t>
  </si>
  <si>
    <t>4-(decan-4-yl)benzenesulfonic acid (C10-LAS)</t>
  </si>
  <si>
    <t>1322-98-1</t>
  </si>
  <si>
    <t>InChI=1S/C16H26O3S/c1-3-5-7-9-14(8-6-4-2)15-10-12-16(13-11-15)20(17,18)19/h10-14H,3-9H2,1-2H3,(H,17,18,19)</t>
  </si>
  <si>
    <t>KIIODTIGNUGDLO-UHFFFAOYSA-N</t>
  </si>
  <si>
    <t>HCD</t>
  </si>
  <si>
    <t>4-(undecan-4-yl)benzenesulfonic acid (C11-LAS)</t>
  </si>
  <si>
    <t>CCCCC1C(c1ccc(cc1)S(=O)(=O)O)CCCC</t>
  </si>
  <si>
    <t>InChI=1S/C17H28O3S/c1-3-5-7-8-10-15(9-6-4-2)16-11-13-17(14-12-16)21(18,19)20/h11-15H,3-10H2,1-2H3,(H,18,19,20)</t>
  </si>
  <si>
    <t>FERBTPHUEYEGDN-UHFFFAOYSA-N</t>
  </si>
  <si>
    <t>4-(dodecan-4-yl)benzenesulfonic acid (C12-LAS)</t>
  </si>
  <si>
    <t>InChI=1S/C18H30O3S/c1-3-5-7-9-11-16(10-8-6-4-2)17-12-14-18(15-13-17)22(19,20)21/h12-16H,3-11H2,1-2H3,(H,19,20,21)</t>
  </si>
  <si>
    <t>GHNRTXCRBJQVGN-UHFFFAOYSA-N</t>
  </si>
  <si>
    <t>4-(tridecan-4-yl)benzenesulfonic acid (C13-LAS)</t>
  </si>
  <si>
    <t>InChI=1S/C19H32O3S/c1-3-5-6-7-8-9-10-12-17(11-4-2)18-13-15-19(16-14-18)23(20,21)22/h13-17H,3-12H2,1-2H3,(H,20,21,22)</t>
  </si>
  <si>
    <t>BKSFODZRXDHRQE-UHFFFAOYSA-N</t>
  </si>
  <si>
    <t>4-(tetradecan-4-yl)benzenesulfonic acid  (C14-LAS)</t>
  </si>
  <si>
    <t>InChI=1S/C20H34O3S/c1-3-5-6-7-8-9-10-11-13-18(12-4-2)19-14-16-20(17-15-19)24(21,22)23/h14-18H,3-13H2,1-2H3,(H,21,22,23)</t>
  </si>
  <si>
    <t>OJUCYEORNQUZQE-UHFFFAOYSA-N</t>
  </si>
  <si>
    <t>6-(4-sulfophenyl)octanoic acid (SPA-8C)</t>
  </si>
  <si>
    <t>InChI=1S/C14H20O5S/c1-2-4-11(5-3-6-14(15)16)12-7-9-13(10-8-12)20(17,18)19/h7-11H,2-6H2,1H3,(H,15,16)(H,17,18,19)</t>
  </si>
  <si>
    <t>MVJQLORHGJECEH-UHFFFAOYSA-N</t>
  </si>
  <si>
    <t>RAMP 32-48</t>
  </si>
  <si>
    <t>3-hydroxy pyridine</t>
  </si>
  <si>
    <t>109-00-2</t>
  </si>
  <si>
    <t>InChI=1S/C5H5NO/c7-5-2-1-3-6-4-5/h1-4,7H</t>
  </si>
  <si>
    <t>GRFNBEZIAWKNCO-UHFFFAOYSA-N</t>
  </si>
  <si>
    <t>872-50-4</t>
  </si>
  <si>
    <t>51013-18-4</t>
  </si>
  <si>
    <t>InChI=1S/C5H9NO/c1-6-4-2-3-5(6)7/h2-4H2,1H3</t>
  </si>
  <si>
    <t>SECXISVLQFMRJM-UHFFFAOYSA-N</t>
  </si>
  <si>
    <t>298-46-4</t>
  </si>
  <si>
    <t>InChI=1S/C15H12N2O/c16-15(18)17-13-7-3-1-5-11(13)9-10-12-6-2-4-8-14(12)17/h1-10H,(H2,16,18)</t>
  </si>
  <si>
    <t>FFGPTBGBLSHEPO-UHFFFAOYSA-N</t>
  </si>
  <si>
    <t>Xbridge C18 column (3.5µm, 2.1×50mm) from Waters (Milford, USA) with a 2.1×10 mm pre-column of the same material</t>
  </si>
  <si>
    <t>water/methanol, both with 0.1 % formic acid</t>
  </si>
  <si>
    <t>90/10 at 0 min, to 50/50 at 4 min, to 5/95 at 17 min, held until 25 min then 90/10 at 25.1 min to 30 min at a flow of 200 µL/min</t>
  </si>
  <si>
    <t>10-hydroxycarbazepine</t>
  </si>
  <si>
    <t>29331-92-8</t>
  </si>
  <si>
    <t>InChI=1S/C15H14N2O2/c16-15(19)17-12-7-3-1-5-10(12)9-14(18)11-6-2-4-8-13(11)17/h1-8,14,18H,9H2,(H2,16,19)</t>
  </si>
  <si>
    <t>BMPDWHIDQYTSHX-UHFFFAOYSA-N</t>
  </si>
  <si>
    <t>Ramp from 15-40 eV</t>
  </si>
  <si>
    <t>Acquity UPLC BEH C18 1.7 µm particle size, 100 x 2.1 mm (Waters)</t>
  </si>
  <si>
    <t>A: H2O, 0.01% (v/v) HCOOH ; B: MeOH, 0.01% (v/v) HCOOH</t>
  </si>
  <si>
    <t xml:space="preserve">%B linearly increased as follows: 0 min, 10%; 14 min, 90%; 16 min, 90%; 16.01 min, 10% and 18 min, 10%.  Fow rate of 0.3 mL/min. </t>
  </si>
  <si>
    <t>34933-06-7</t>
  </si>
  <si>
    <t>InChI=1S/C22H26N2O4S/c1-15(25)28-20-21(16-9-11-17(27-4)12-10-16)29-19-8-6-5-7-18(19)24(22(20)26)14-13-23(2)3/h5-12,20-21H,13-14H2,1-4H3/t20-,21+/m1/s1</t>
  </si>
  <si>
    <t>HSUGRBWQSSZJOP-UHFFFAOYSA-N</t>
  </si>
  <si>
    <t>Desacetyl diltiazem</t>
  </si>
  <si>
    <t>42399-40-6</t>
  </si>
  <si>
    <t>4592-94-3</t>
  </si>
  <si>
    <t>InChI=1S/C20H24N2O3S/c1-21(2)12-13-22-16-6-4-5-7-17(16)26-19(18(23)20(22)24)14-8-10-15(25-3)11-9-14/h4-11,18-19,23H,12-13H2,1-3H3/t18-,19+/m1/s1</t>
  </si>
  <si>
    <t>NZHUXMZTSSZXSB-MOPGFXCFSA-N</t>
  </si>
  <si>
    <t>N-desmethyl diltiazem</t>
  </si>
  <si>
    <t>InChI=1S/C21H24N2O4S/c1-14(24)27-19-20(15-8-10-16(26-3)11-9-15)28-18-7-5-4-6-17(18)23(21(19)25)13-12-22-2/h4-11,19-20,22H,12-13H2,1-3H3/t19-,20?/m1/s1</t>
  </si>
  <si>
    <t>YOMLDISQSWWYOT-FIWHBWSRSA-N</t>
  </si>
  <si>
    <t>O-desmethyl diltiazem</t>
  </si>
  <si>
    <t>84903-78-6</t>
  </si>
  <si>
    <t>InChI=1S/C21H24N2O4S/c1-14(24)27-19-20(15-8-10-16(25)11-9-15)28-18-7-5-4-6-17(18)23(21(19)26)13-12-22(2)3/h4-11,19-20,25H,12-13H2,1-3H3</t>
  </si>
  <si>
    <t>ALISTFINEQANJP-UHFFFAOYSA-N</t>
  </si>
  <si>
    <t>114798-26-4</t>
  </si>
  <si>
    <t>InChI=1S/C22H23ClN6O/c1-2-3-8-20-24-21(23)19(14-30)29(20)13-15-9-11-16(12-10-15)17-6-4-5-7-18(17)22-25-27-28-26-22/h4-7,9-12,30H,2-3,8,13-14H2,1H3,(H,25,26,27,28)</t>
  </si>
  <si>
    <t>PSIFNNKUMBGKDQ-UHFFFAOYSA-N</t>
  </si>
  <si>
    <t>Losartan carboxylic acid</t>
  </si>
  <si>
    <t>124750-92-1</t>
  </si>
  <si>
    <t>InChI=1S/C22H21ClN6O2/c1-2-3-8-18-24-20(23)19(22(30)31)29(18)13-14-9-11-15(12-10-14)16-6-4-5-7-17(16)21-25-27-28-26-21/h4-7,9-12H,2-3,8,13H2,1H3,(H,30,31)(H,25,26,27,28)</t>
  </si>
  <si>
    <t>ZEUXAIYYDDCIRX-UHFFFAOYSA-N</t>
  </si>
  <si>
    <t>111974-72-2</t>
  </si>
  <si>
    <t>InChI=1S/C21H25N3O2S/c25-14-16-26-15-13-23-9-11-24(12-10-23)21-17-5-1-3-7-19(17)27-20-8-4-2-6-18(20)22-21/h1-8,25H,9-16H2</t>
  </si>
  <si>
    <t>URKOMYMAXPYINW-UHFFFAOYSA-N</t>
  </si>
  <si>
    <t>Norquetiapine</t>
  </si>
  <si>
    <t>111974-74-4</t>
  </si>
  <si>
    <t>InChI=1S/C17H17N3S/c1-3-7-15-13(5-1)17(20-11-9-18-10-12-20)19-14-6-2-4-8-16(14)21-15/h1-8,18H,9-12H2</t>
  </si>
  <si>
    <t>JLOAJISUHPIQOX-UHFFFAOYSA-N</t>
  </si>
  <si>
    <t>486460-32-6</t>
  </si>
  <si>
    <t>654671-77-9</t>
  </si>
  <si>
    <t>InChI=1S/C16H15F6N5O/c17-10-6-12(19)11(18)4-8(10)3-9(23)5-14(28)26-1-2-27-13(7-26)24-25-15(27)16(20,21)22/h4,6,9H,1-3,5,7,23H2/t9-/m1/s1</t>
  </si>
  <si>
    <t>MFFMDFFZMYYVKS-SECBINFHSA-N</t>
  </si>
  <si>
    <t>274901-16-5</t>
  </si>
  <si>
    <t>InChI=1S/C17H25N3O2/c18-9-14-2-1-3-20(14)15(21)10-19-16-5-12-4-13(6-16)8-17(22,7-12)11-16/h12-14,19,22H,1-8,10-11H2/t12?,13?,14-,16?,17?/m0/s1</t>
  </si>
  <si>
    <t>SYOKIDBDQMKNDQ-XWTIBIIYSA-N</t>
  </si>
  <si>
    <t>326602-80-6</t>
  </si>
  <si>
    <t>InChI=1S/C17H19N3O3S/c1-10-8-18-15(11(2)16(10)23-4)9-24(21)17-19-13-6-5-12(22-3)7-14(13)20-17/h5-8H,9H2,1-4H3,(H,19,20)</t>
  </si>
  <si>
    <t>SUBDBMMJDZJVOS-UHFFFAOYSA-N</t>
  </si>
  <si>
    <t>4-hydroxy omeprazole sulphide</t>
  </si>
  <si>
    <t>103876-98-8</t>
  </si>
  <si>
    <t>InChI=1S/C16H17N3O2S/c1-9-7-17-14(10(2)15(9)20)8-22-16-18-12-5-4-11(21-3)6-13(12)19-16/h4-7H,8H2,1-3H3,(H,17,20)(H,18,19)</t>
  </si>
  <si>
    <t>LVUFHVGKGMRSQW-UHFFFAOYSA-N</t>
  </si>
  <si>
    <t>137862-53-4</t>
  </si>
  <si>
    <t>InChI=1S/C24H29N5O3/c1-4-5-10-21(30)29(22(16(2)3)24(31)32)15-17-11-13-18(14-12-17)19-8-6-7-9-20(19)23-25-27-28-26-23/h6-9,11-14,16,22H,4-5,10,15H2,1-3H3,(H,31,32)(H,25,26,27,28)/t22-/m0/s1</t>
  </si>
  <si>
    <t>ACWBQPMHZXGDFX-QFIPXVFZSA-N</t>
  </si>
  <si>
    <t>Valsartan acid</t>
  </si>
  <si>
    <t>164265-78-5</t>
  </si>
  <si>
    <t>InChI=1S/C14H10N4O2/c19-14(20)10-7-5-9(6-8-10)11-3-1-2-4-12(11)13-15-17-18-16-13/h1-8H,(H,19,20)(H,15,16,17,18)</t>
  </si>
  <si>
    <t>USAWIVMZUYOXCF-UHFFFAOYSA-N</t>
  </si>
  <si>
    <t>360-70-3</t>
  </si>
  <si>
    <t>InChI=1S/C9H17NO2/c10-7-9(6-8(11)12)4-2-1-3-5-9/h1-7,10H2,(H,11,12)</t>
  </si>
  <si>
    <t>UGJMXCAKCUNAIE-UHFFFAOYSA-N</t>
  </si>
  <si>
    <t>Gabapentin lactam</t>
  </si>
  <si>
    <t>64744-50-9</t>
  </si>
  <si>
    <t>InChI=1S/C9H15NO/c11-8-6-9(7-10-8)4-2-1-3-5-9/h1-7H2,(H,10,11)</t>
  </si>
  <si>
    <t>JAWPQJDOQPSNIQ-UHFFFAOYSA-N</t>
  </si>
  <si>
    <t>507442-49-1</t>
  </si>
  <si>
    <t>InChI=1S/C18H24O2/c1-10-9-20-16(19)13-8-15-14(7-12(10)13)17(3,4)11(2)18(15,5)6/h7-8,10-11H,9H2,1-6H3</t>
  </si>
  <si>
    <t>PGMHPYRIXBRRQD-UHFFFAOYSA-N</t>
  </si>
  <si>
    <t>141-83-3</t>
  </si>
  <si>
    <t>926-72-7</t>
  </si>
  <si>
    <t>InChI=1S/C2H6N4O/c3-1(4)6-2(5)7/h(H6,3,4,5,6,7)</t>
  </si>
  <si>
    <t>SQSPRWMERUQXNE-UHFFFAOYSA-N</t>
  </si>
  <si>
    <t>Irbesartan_446</t>
  </si>
  <si>
    <t>748812-53-5</t>
  </si>
  <si>
    <t>InChI=1S/C25H30N6O2/c1-2-3-10-22(32)27-25(15-6-7-16-25)24(33)26-17-18-11-13-19(14-12-18)20-8-4-5-9-21(20)23-28-30-31-29-23/h4-5,8-9,11-14H,2-3,6-7,10,15-17H2,1H3,(H,26,33)(H,27,32)(H,28,29,30,31)</t>
  </si>
  <si>
    <t>PAKGYCNZUGIDHV-UHFFFAOYSA-N</t>
  </si>
  <si>
    <t>150-30-1</t>
  </si>
  <si>
    <t>InChI=1S/C9H11NO2/c10-8(9(11)12)6-7-4-2-1-3-5-7/h1-5,8H,6,10H2,(H,11,12)</t>
  </si>
  <si>
    <t>COLNVLDHVKWLRT-UHFFFAOYSA-N</t>
  </si>
  <si>
    <t>28343-61-5</t>
  </si>
  <si>
    <t>InChI=1S/C8HCl3N2O/c9-5-3(1-12)6(10)7(11)8(14)4(5)2-13/h14H</t>
  </si>
  <si>
    <t>MDQKYGOECVSPIW-UHFFFAOYSA-N</t>
  </si>
  <si>
    <t>CE 35 ± 15</t>
  </si>
  <si>
    <t>XDB-C18 (1.8 um, 2.1 mm x 100 mm, Agilent)</t>
  </si>
  <si>
    <t>A: Methanol (1%) / B: Methanol (90%) / Buffer: 5mM Ammonium Acetate</t>
  </si>
  <si>
    <t>10% (B) hold 0.2min ; 10% (B) to 100% (B) over 6.5min ; hold 3 min</t>
  </si>
  <si>
    <t>2795-39-3</t>
  </si>
  <si>
    <t>InChI=1S/C8HF17O3S/c9-1(10,3(13,14)5(17,18)7(21,22)23)2(11,12)4(15,16)6(19,20)8(24,25)29(26,27)28/h(H,26,27,28)</t>
  </si>
  <si>
    <t>YFSUTJLHUFNCNZ-UHFFFAOYSA-N</t>
  </si>
  <si>
    <t>mixed</t>
  </si>
  <si>
    <t>1-chloro-1,2,2,3,3,4,4,5,5,6,6,6-dodecafluorohexane-1-sulfonate (Cl-PFHxS)</t>
  </si>
  <si>
    <t>InChI=1S/C6HClF12O3S/c7-5(16,23(20,21)22)3(12,13)1(8,9)2(10,11)4(14,15)6(17,18)19/h(H,20,21,22)</t>
  </si>
  <si>
    <t>UKYURESKXPQWHO-UHFFFAOYSA-N</t>
  </si>
  <si>
    <t>CE 60 ± 15</t>
  </si>
  <si>
    <t>Gemini NX C18 (3 um, 2.0 mm x 50 mm, Phenomenex)</t>
  </si>
  <si>
    <t>1-chloro-1,2,2,3,3,4,4,5,5,6,6,7,7,8,8,8-hexadecafluorooctane-1-sulfonate (Cl-PFOS)</t>
  </si>
  <si>
    <t>InChI=1S/C8HClF16O3S/c9-7(22,29(26,27)28)5(18,19)3(14,15)1(10,11)2(12,13)4(16,17)6(20,21)8(23,24)25/h(H,26,27,28)</t>
  </si>
  <si>
    <t>CJZVOARZPASTAD-UHFFFAOYSA-N</t>
  </si>
  <si>
    <t>5.55, 5.66</t>
  </si>
  <si>
    <t>1,1,2,2,3,3,4,4,5,5-decafluoro-5-(trifluoromethoxy)pentane-1-sulfonate (Ether-PFHxS)</t>
  </si>
  <si>
    <t>InChI=1S/C6HF13O4S/c7-1(8,3(11,12)5(15,16)24(20,21)22)2(9,10)4(13,14)23-6(17,18)19/h(H,20,21,22)</t>
  </si>
  <si>
    <t>IDFITEZJWGYLAO-UHFFFAOYSA-N</t>
  </si>
  <si>
    <t>1,1,2,2,3,3,4,4,5,5,6,6,8,8,8-pentadecafluoro-7-oxooctane-1-sulfonate (Ketone-PFOS)</t>
  </si>
  <si>
    <t>InChI=1S/C8HF15O4S/c9-2(10,1(24)3(11,12)13)4(14,15)5(16,17)6(18,19)7(20,21)8(22,23)28(25,26)27/h(H,25,26,27)</t>
  </si>
  <si>
    <t>OTPHSARACINGEX-UHFFFAOYSA-N</t>
  </si>
  <si>
    <t>59729-33-8</t>
  </si>
  <si>
    <t>InChI=1S/C20H21FN2O/c1-23(2)11-3-10-20(17-5-7-18(21)8-6-17)19-9-4-15(13-22)12-16(19)14-24-20/h4-9,12H,3,10-11,14H2,1-2H3</t>
  </si>
  <si>
    <t>WSEQXVZVJXJVFP-UHFFFAOYSA-N</t>
  </si>
  <si>
    <t>Citalopram amide</t>
  </si>
  <si>
    <t>64372-56-1</t>
  </si>
  <si>
    <t>InChI=1S/C20H23FN2O2/c1-23(2)11-3-10-20(16-5-7-17(21)8-6-16)18-9-4-14(19(22)24)12-15(18)13-25-20/h4-9,12H,3,10-11,13H2,1-2H3,(H2,22,24)</t>
  </si>
  <si>
    <t>LYYWQJNKWCANAC-UHFFFAOYSA-N</t>
  </si>
  <si>
    <t>Citalopram carboxylic acid</t>
  </si>
  <si>
    <t>C20H22FNO3</t>
  </si>
  <si>
    <t>440121-09-5</t>
  </si>
  <si>
    <t>InChI=1S/C20H22FNO3/c1-22(2)11-3-10-20(16-5-7-17(21)8-6-16)18-9-4-14(19(23)24)12-15(18)13-25-20/h4-9,12H,3,10-11,13H2,1-2H3,(H,23,24)</t>
  </si>
  <si>
    <t>GECQEQCYCDJXJC-UHFFFAOYSA-N</t>
  </si>
  <si>
    <t>citalopram-N-oxide</t>
  </si>
  <si>
    <t>63284-72-0</t>
  </si>
  <si>
    <t>InChI=1S/C20H21FN2O2/c1-23(2,24)11-3-10-20(17-5-7-18(21)8-6-17)19-9-4-15(13-22)12-16(19)14-25-20/h4-9,12H,3,10-11,14H2,1-2H3</t>
  </si>
  <si>
    <t>DIOGFDCEWUUSBQ-UHFFFAOYSA-N</t>
  </si>
  <si>
    <t>desmethylcitalopram</t>
  </si>
  <si>
    <t>C19H19FN2O</t>
  </si>
  <si>
    <t>62498-67-3</t>
  </si>
  <si>
    <t>67076-74-8</t>
  </si>
  <si>
    <t>InChI=1S/C19H19FN2O/c1-22-10-2-9-19(16-4-6-17(20)7-5-16)18-8-3-14(12-21)11-15(18)13-23-19/h3-8,11,22H,2,9-10,13H2,1H3</t>
  </si>
  <si>
    <t>PTJADDMMFYXMMG-UHFFFAOYSA-N</t>
  </si>
  <si>
    <t>3-oxo-citalopram</t>
  </si>
  <si>
    <t>372941-54-3</t>
  </si>
  <si>
    <t>InChI=1S/C20H19FN2O2/c1-23(2)11-3-10-20(15-5-7-16(21)8-6-15)18-9-4-14(13-22)12-17(18)19(24)25-20/h4-9,12H,3,10-11H2,1-2H3</t>
  </si>
  <si>
    <t>ASGSMDPSNUXWMB-UHFFFAOYSA-N</t>
  </si>
  <si>
    <t>29122-68-7</t>
  </si>
  <si>
    <t>InChI=1S/C14H22N2O3/c1-10(2)16-8-12(17)9-19-13-5-3-11(4-6-13)7-14(15)18/h3-6,10,12,16-17H,7-9H2,1-2H3,(H2,15,18)</t>
  </si>
  <si>
    <t>METKIMKYRPQLGS-UHFFFAOYSA-N</t>
  </si>
  <si>
    <t>37350-58-6</t>
  </si>
  <si>
    <t>InChI=1S/C15H25NO3/c1-12(2)16-10-14(17)11-19-15-6-4-13(5-7-15)8-9-18-3/h4-7,12,14,16-17H,8-11H2,1-3H3</t>
  </si>
  <si>
    <t>IUBSYMUCCVWXPE-UHFFFAOYSA-N</t>
  </si>
  <si>
    <t>Metoprolol acid</t>
  </si>
  <si>
    <t>56392-14-4</t>
  </si>
  <si>
    <t>InChI=1S/C14H21NO4/c1-10(2)15-8-12(16)9-19-13-5-3-11(4-6-13)7-14(17)18/h3-6,10,12,15-16H,7-9H2,1-2H3,(H,17,18)</t>
  </si>
  <si>
    <t>PUQIRTNPJRFRCZ-UHFFFAOYSA-N</t>
  </si>
  <si>
    <t>1912-24-9</t>
  </si>
  <si>
    <t>InChI=1S/C8H14ClN5/c1-4-10-7-12-6(9)13-8(14-7)11-5(2)3/h5H,4H2,1-3H3,(H2,10,11,12,13,14)</t>
  </si>
  <si>
    <t>MXWJVTOOROXGIU-UHFFFAOYSA-N</t>
  </si>
  <si>
    <t>2163-68-0</t>
  </si>
  <si>
    <t>InChI=1S/C8H15N5O/c1-4-9-6-11-7(10-5(2)3)13-8(14)12-6/h5H,4H2,1-3H3,(H3,9,10,11,12,13,14)</t>
  </si>
  <si>
    <t>NFMIMWNQWAWNDW-UHFFFAOYSA-N</t>
  </si>
  <si>
    <t>79183-19-0</t>
  </si>
  <si>
    <t>InChI=1S/C14H11Cl2NO2/c15-10-5-3-6-11(16)14(10)17-12-7-2-1-4-9(12)8-13(18)19/h1-7,17H,8H2,(H,18,19)</t>
  </si>
  <si>
    <t>DCOPUUMXTXDBNB-UHFFFAOYSA-N</t>
  </si>
  <si>
    <t>34123-59-6</t>
  </si>
  <si>
    <t>InChI=1S/C12H18N2O/c1-9(2)10-5-7-11(8-6-10)13-12(15)14(3)4/h5-9H,1-4H3,(H,13,15)</t>
  </si>
  <si>
    <t>PUIYMUZLKQOUOZ-UHFFFAOYSA-N</t>
  </si>
  <si>
    <t>129378-89-8</t>
  </si>
  <si>
    <t>InChI=1S/C10H11N3O3S/c1-7-6-10(12-16-7)13-17(14,15)9-4-2-8(11)3-5-9/h2-6H,11H2,1H3,(H,12,13)</t>
  </si>
  <si>
    <t>JLKIGFTWXXRPMT-UHFFFAOYSA-N</t>
  </si>
  <si>
    <t>5915-41-3</t>
  </si>
  <si>
    <t>InChI=1S/C9H16ClN5/c1-5-11-7-12-6(10)13-8(14-7)15-9(2,3)4/h5H2,1-4H3,(H2,11,12,13,14,15)</t>
  </si>
  <si>
    <t>FZXISNSWEXTPMF-UHFFFAOYSA-N</t>
  </si>
  <si>
    <t>Desethylterbutylazine</t>
  </si>
  <si>
    <t>30125-63-4</t>
  </si>
  <si>
    <t>InChI=1S/C7H12ClN5/c1-7(2,3)13-6-11-4(8)10-5(9)12-6/h1-3H3,(H3,9,10,11,12,13)</t>
  </si>
  <si>
    <t>LMKQNTMFZLAJDV-UHFFFAOYSA-N</t>
  </si>
  <si>
    <t>27203-92-5</t>
  </si>
  <si>
    <t>InChI=1S/C16H25NO2/c1-17(2)12-14-7-4-5-10-16(14,18)13-8-6-9-15(11-13)19-3/h6,8-9,11,14,18H,4-5,7,10,12H2,1-3H3/t14-,16+/m1/s1</t>
  </si>
  <si>
    <t>TVYLLZQTGLZFBW-ZBFHGGJFSA-N</t>
  </si>
  <si>
    <t>Tramadol N-Oxide</t>
  </si>
  <si>
    <t>147441-56-3</t>
  </si>
  <si>
    <t>InChI=1S/C16H25NO3/c1-17(2,19)12-14-7-4-5-10-16(14,18)13-8-6-9-15(11-13)20-3/h6,8-9,11,14,18H,4-5,7,10,12H2,1-3H3/t14-,16+/m1/s1</t>
  </si>
  <si>
    <t>HBXKSXMNNGHBEA-ZBFHGGJFSA-N</t>
  </si>
  <si>
    <t>93413-46-8</t>
  </si>
  <si>
    <t>InChI=1S/C17H27NO2/c1-18(2)13-16(17(19)11-5-4-6-12-17)14-7-9-15(20-3)10-8-14/h7-10,16,19H,4-6,11-13H2,1-3H3</t>
  </si>
  <si>
    <t>PNVNVHUZROJLTJ-UHFFFAOYSA-N</t>
  </si>
  <si>
    <t>N-Desmethyl Venlafaxine</t>
  </si>
  <si>
    <t>149289-30-5</t>
  </si>
  <si>
    <t>InChI=1S/C16H25NO2/c1-17-12-15(16(18)10-4-3-5-11-16)13-6-8-14(19-2)9-7-13/h6-9,15,17-18H,3-5,10-12H2,1-2H3</t>
  </si>
  <si>
    <t>MKAFOJAJJMUXLW-UHFFFAOYSA-N</t>
  </si>
  <si>
    <t>O-Desmethyl Venlafaxine</t>
  </si>
  <si>
    <t>93413-62-8</t>
  </si>
  <si>
    <t>InChI=1S/C16H25NO2/c1-17(2)12-15(13-6-8-14(18)9-7-13)16(19)10-4-3-5-11-16/h6-9,15,18-19H,3-5,10-12H2,1-2H3</t>
  </si>
  <si>
    <t>KYYIDSXMWOZKMP-UHFFFAOYSA-N</t>
  </si>
  <si>
    <t>866187-25-9</t>
  </si>
  <si>
    <t>InChI=1S/C6H5N3/c1-2-4-6-5(3-1)7-9-8-6/h1-4H,(H,7,8,9)</t>
  </si>
  <si>
    <t>QRUDEWIWKLJBPS-UHFFFAOYSA-N</t>
  </si>
  <si>
    <t>1H-Benzotriazole-5-carboxylic acid</t>
  </si>
  <si>
    <t>23814-12-2</t>
  </si>
  <si>
    <t>60932-58-3</t>
  </si>
  <si>
    <t>InChI=1S/C7H5N3O2/c11-7(12)4-1-2-5-6(3-4)9-10-8-5/h1-3H,(H,11,12)(H,8,9,10)</t>
  </si>
  <si>
    <t>GUOVBFFLXKJFEE-UHFFFAOYSA-N</t>
  </si>
  <si>
    <t>2-Benzothiazolsulfonic acid</t>
  </si>
  <si>
    <t>941-57-1</t>
  </si>
  <si>
    <t>InChI=1S/C7H5NO3S2/c9-13(10,11)7-8-5-3-1-2-4-6(5)12-7/h1-4H,(H,9,10,11)</t>
  </si>
  <si>
    <t>ZCXGMSGCBDSEOY-UHFFFAOYSA-N</t>
  </si>
  <si>
    <t>3-nitrobenzenesulfonate</t>
  </si>
  <si>
    <t>127-68-4</t>
  </si>
  <si>
    <t>6091-01-6</t>
  </si>
  <si>
    <t>InChI=1S/C6H5NO5S/c8-7(9)5-2-1-3-6(4-5)13(10,11)12/h1-4H,(H,10,11,12)</t>
  </si>
  <si>
    <t>ONMOULMPIIOVTQ-UHFFFAOYSA-N</t>
  </si>
  <si>
    <t>4-hydroxybenzenesulfonate</t>
  </si>
  <si>
    <t>10580-19-5</t>
  </si>
  <si>
    <t>98-67-9</t>
  </si>
  <si>
    <t>InChI=1S/C6H6O4S/c7-5-1-3-6(4-2-5)11(8,9)10/h1-4,7H,(H,8,9,10)</t>
  </si>
  <si>
    <t>FEPBITJSIHRMRT-UHFFFAOYSA-N</t>
  </si>
  <si>
    <t>4-isopropyl benzene sulfonic acid</t>
  </si>
  <si>
    <t>16066-35-6</t>
  </si>
  <si>
    <t>28631-63-2</t>
  </si>
  <si>
    <t>InChI=1S/C9H12O3S/c1-7(2)8-3-5-9(6-4-8)13(10,11)12/h3-7H,1-2H3,(H,10,11,12)</t>
  </si>
  <si>
    <t>CVLHGLWXLDOELD-UHFFFAOYSA-N</t>
  </si>
  <si>
    <t>Phenoxy acetic acid</t>
  </si>
  <si>
    <t>122-59-8</t>
  </si>
  <si>
    <t>InChI=1S/C8H8O3/c9-8(10)6-11-7-4-2-1-3-5-7/h1-5H,6H2,(H,9,10)</t>
  </si>
  <si>
    <t>LCPDWSOZIOUXRV-UHFFFAOYSA-N</t>
  </si>
  <si>
    <t>4-nonylphenol</t>
  </si>
  <si>
    <t>104-40-5</t>
  </si>
  <si>
    <t>29832-11-9</t>
  </si>
  <si>
    <t>InChI=1S/C15H24O/c1-2-3-4-5-6-7-8-9-14-10-12-15(16)13-11-14/h10-13,16H,2-9H2,1H3</t>
  </si>
  <si>
    <t>IGFHQQFPSIBGKE-UHFFFAOYSA-N</t>
  </si>
  <si>
    <t>4-Octylphenol</t>
  </si>
  <si>
    <t>1806-26-4</t>
  </si>
  <si>
    <t>InChI=1S/C14H22O/c1-2-3-4-5-6-7-8-13-9-11-14(15)12-10-13/h9-12,15H,2-8H2,1H3</t>
  </si>
  <si>
    <t>NTDQQZYCCIDJRK-UHFFFAOYSA-N</t>
  </si>
  <si>
    <t>4-tert-Octylphenol</t>
  </si>
  <si>
    <t>140-66-9</t>
  </si>
  <si>
    <t>InChI=1S/C14H22O/c1-13(2,3)10-14(4,5)11-6-8-12(15)9-7-11/h6-9,15H,10H2,1-5H3</t>
  </si>
  <si>
    <t>ISAVYTVYFVQUDY-UHFFFAOYSA-N</t>
  </si>
  <si>
    <t>bisphenol A</t>
  </si>
  <si>
    <t>80-05-7</t>
  </si>
  <si>
    <t>InChI=1S/C15H16O2/c1-15(2,11-3-7-13(16)8-4-11)12-5-9-14(17)10-6-12/h3-10,16-17H,1-2H3</t>
  </si>
  <si>
    <t>IISBACLAFKSPIT-UHFFFAOYSA-N</t>
  </si>
  <si>
    <t>bisphenol AF</t>
  </si>
  <si>
    <t>1478-61-1</t>
  </si>
  <si>
    <t>InChI=1S/C15H10F6O2/c16-14(17,18)13(15(19,20)21,9-1-5-11(22)6-2-9)10-3-7-12(23)8-4-10/h1-8,22-23H</t>
  </si>
  <si>
    <t>ZFVMWEVVKGLCIJ-UHFFFAOYSA-N</t>
  </si>
  <si>
    <t>bisphenol AP</t>
  </si>
  <si>
    <t>1571-75-1</t>
  </si>
  <si>
    <t>InChI=1S/C20H18O2/c1-20(15-5-3-2-4-6-15,16-7-11-18(21)12-8-16)17-9-13-19(22)14-10-17/h2-14,21-22H,1H3</t>
  </si>
  <si>
    <t>VOWWYDCFAISREI-UHFFFAOYSA-N</t>
  </si>
  <si>
    <t>bisphenol B</t>
  </si>
  <si>
    <t>77-40-7</t>
  </si>
  <si>
    <t>InChI=1S/C16H18O2/c1-3-16(2,12-4-8-14(17)9-5-12)13-6-10-15(18)11-7-13/h4-11,17-18H,3H2,1-2H3</t>
  </si>
  <si>
    <t>HTVITOHKHWFJKO-UHFFFAOYSA-N</t>
  </si>
  <si>
    <t xml:space="preserve">bisphenol BP </t>
  </si>
  <si>
    <t>1844-01-5</t>
  </si>
  <si>
    <t>21323-35-3</t>
  </si>
  <si>
    <t>InChI=1S/C25H20O2/c26-23-15-11-21(12-16-23)25(19-7-3-1-4-8-19,20-9-5-2-6-10-20)22-13-17-24(27)18-14-22/h1-18,26-27H</t>
  </si>
  <si>
    <t>BATCUENAARTUKW-UHFFFAOYSA-N</t>
  </si>
  <si>
    <t>bisphenol C</t>
  </si>
  <si>
    <t>79-97-0</t>
  </si>
  <si>
    <t>84173-29-5</t>
  </si>
  <si>
    <t>InChI=1S/C17H20O2/c1-11-9-13(5-7-15(11)18)17(3,4)14-6-8-16(19)12(2)10-14/h5-10,18-19H,1-4H3</t>
  </si>
  <si>
    <t>YMTYZTXUZLQUSF-UHFFFAOYSA-N</t>
  </si>
  <si>
    <t>bisphenol E</t>
  </si>
  <si>
    <t>2081-08-5</t>
  </si>
  <si>
    <t>InChI=1S/C14H14O2/c1-10(11-2-6-13(15)7-3-11)12-4-8-14(16)9-5-12/h2-10,15-16H,1H3</t>
  </si>
  <si>
    <t>HCNHNBLSNVSJTJ-UHFFFAOYSA-N</t>
  </si>
  <si>
    <t>Bisphenol-F -4,4'</t>
  </si>
  <si>
    <t>620-92-8</t>
  </si>
  <si>
    <t>InChI=1S/C13H12O2/c14-12-5-1-10(2-6-12)9-11-3-7-13(15)8-4-11/h1-8,14-15H,9H2</t>
  </si>
  <si>
    <t>PXKLMJQFEQBVLD-UHFFFAOYSA-N</t>
  </si>
  <si>
    <t>Bisphenol-F-2,2</t>
  </si>
  <si>
    <t>246702-09</t>
  </si>
  <si>
    <t>1333-16-0</t>
  </si>
  <si>
    <t>InChI=1S/C13H12O2/c14-12-7-3-1-5-10(12)9-11-6-2-4-8-13(11)15/h1-8,14-15H,9H2</t>
  </si>
  <si>
    <t>MQCPOLNSJCWPGT-UHFFFAOYSA-N</t>
  </si>
  <si>
    <t>bisphenol FL</t>
  </si>
  <si>
    <t>3236-71-3</t>
  </si>
  <si>
    <t>InChI=1S/C25H18O2/c26-19-13-9-17(10-14-19)25(18-11-15-20(27)16-12-18)23-7-3-1-5-21(23)22-6-2-4-8-24(22)25/h1-16,26-27H</t>
  </si>
  <si>
    <t>YWFPGFJLYRKYJZ-UHFFFAOYSA-N</t>
  </si>
  <si>
    <t>bisphenol G</t>
  </si>
  <si>
    <t>127-54-8</t>
  </si>
  <si>
    <t>InChI=1S/C21H28O2/c1-13(2)17-11-15(7-9-19(17)22)21(5,6)16-8-10-20(23)18(12-16)14(3)4/h7-14,22-23H,1-6H3</t>
  </si>
  <si>
    <t>IJWIRZQYWANBMP-UHFFFAOYSA-N</t>
  </si>
  <si>
    <t>bisphenol M</t>
  </si>
  <si>
    <t>13595-25-0</t>
  </si>
  <si>
    <t>133556-17-9</t>
  </si>
  <si>
    <t>InChI=1S/C24H26O2/c1-23(2,17-8-12-21(25)13-9-17)19-6-5-7-20(16-19)24(3,4)18-10-14-22(26)15-11-18/h5-16,25-26H,1-4H3</t>
  </si>
  <si>
    <t>PVFQHGDIOXNKIC-UHFFFAOYSA-N</t>
  </si>
  <si>
    <t>bisphenol P</t>
  </si>
  <si>
    <t>2167-51-3</t>
  </si>
  <si>
    <t>InChI=1S/C24H26O2/c1-23(2,19-9-13-21(25)14-10-19)17-5-7-18(8-6-17)24(3,4)20-11-15-22(26)16-12-20/h5-16,25-26H,1-4H3</t>
  </si>
  <si>
    <t>GIXXQTYGFOHYPT-UHFFFAOYSA-N</t>
  </si>
  <si>
    <t xml:space="preserve">bisphenol S </t>
  </si>
  <si>
    <t>80-09-1</t>
  </si>
  <si>
    <t>InChI=1S/C12H10O4S/c13-9-1-5-11(6-2-9)17(15,16)12-7-3-10(14)4-8-12/h1-8,13-14H</t>
  </si>
  <si>
    <t>VPWNQTHUCYMVMZ-UHFFFAOYSA-N</t>
  </si>
  <si>
    <t>bisphenol TMC</t>
  </si>
  <si>
    <t>129188-99-4</t>
  </si>
  <si>
    <t>InChI=1S/C21H26O2/c1-15-12-20(2,3)14-21(13-15,16-4-8-18(22)9-5-16)17-6-10-19(23)11-7-17/h4-11,15,22-23H,12-14H2,1-3H3</t>
  </si>
  <si>
    <t>UMPGNGRIGSEMTC-UHFFFAOYSA-N</t>
  </si>
  <si>
    <t>bisphenol Z</t>
  </si>
  <si>
    <t>843-55-0</t>
  </si>
  <si>
    <t>InChI=1S/C18H20O2/c19-16-8-4-14(5-9-16)18(12-2-1-3-13-18)15-6-10-17(20)11-7-15/h4-11,19-20H,1-3,12-13H2</t>
  </si>
  <si>
    <t>SDDLEVPIDBLVHC-UHFFFAOYSA-N</t>
  </si>
  <si>
    <t>tetrabromobisphenol A</t>
  </si>
  <si>
    <t>79-94-7</t>
  </si>
  <si>
    <t>25639-54-7</t>
  </si>
  <si>
    <t>InChI=1S/C15H12Br4O2/c1-15(2,7-3-9(16)13(20)10(17)4-7)8-5-11(18)14(21)12(19)6-8/h3-6,20-21H,1-2H3</t>
  </si>
  <si>
    <t>VEORPZCZECFIRK-UHFFFAOYSA-N</t>
  </si>
  <si>
    <t>33665-90-6</t>
  </si>
  <si>
    <t>InChI=1S/C4H5NO4S/c1-3-2-4(6)5-10(7,8)9-3/h2H,1H3,(H,5,6)</t>
  </si>
  <si>
    <t>YGCFIWIQZPHFLU-UHFFFAOYSA-N</t>
  </si>
  <si>
    <t>56038-13-2</t>
  </si>
  <si>
    <t>InChI=1S/C12H19Cl3O8/c13-1-4-7(17)10(20)12(3-14,22-4)23-11-9(19)8(18)6(15)5(2-16)21-11/h4-11,16-20H,1-3H2</t>
  </si>
  <si>
    <t>BAQAVOSOZGMPRM-UHFFFAOYSA-N</t>
  </si>
  <si>
    <t>CMF-ID predicted</t>
  </si>
  <si>
    <t>4-octylphenol*</t>
  </si>
  <si>
    <t>4-tert-octylphenol*</t>
  </si>
  <si>
    <t>4,4'-bisphenol F**</t>
  </si>
  <si>
    <t>2,2-bisphenol F**</t>
  </si>
  <si>
    <t>*,** Difficult to differentiate among compounds</t>
  </si>
  <si>
    <t>E</t>
  </si>
  <si>
    <t>Frequency of detection</t>
  </si>
  <si>
    <t>Effluent - Iceand.raw</t>
  </si>
  <si>
    <t>95/5 at 0 min, 0/100 at50 min</t>
  </si>
  <si>
    <t>Sampling Date (optionally month-Year)</t>
  </si>
  <si>
    <t>February-2010</t>
  </si>
  <si>
    <t>November-2015</t>
  </si>
  <si>
    <t>March-2011</t>
  </si>
  <si>
    <t>September-2013</t>
  </si>
  <si>
    <t>June-2012</t>
  </si>
  <si>
    <t>October-2014</t>
  </si>
  <si>
    <t>March-2015</t>
  </si>
  <si>
    <t>December-2013</t>
  </si>
  <si>
    <t>March-2014</t>
  </si>
  <si>
    <t>Effluent Wastewater_Switzerland3</t>
  </si>
  <si>
    <t>Effluent Wastewater_Switzerland4</t>
  </si>
  <si>
    <t>Effluent Wastewater_Switzerland5</t>
  </si>
  <si>
    <t>Effluent Wastewater_Switzerland6</t>
  </si>
  <si>
    <t>Effluent Wastewater_Switzerland7</t>
  </si>
  <si>
    <t>Effluent Wastewater_Switzerland8</t>
  </si>
  <si>
    <t>Effluent Wastewater_Switzerland9</t>
  </si>
  <si>
    <t>Effluent Wastewater_Switzerland10</t>
  </si>
  <si>
    <t>Effluent Wastewater_Switzerland11</t>
  </si>
  <si>
    <t>Effluent Wastewater_Switzerland12</t>
  </si>
  <si>
    <t>Effluent Wastewater_Switzerland2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</si>
</sst>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"/>
    <numFmt numFmtId="166" formatCode="0.0"/>
    <numFmt numFmtId="167" formatCode="0.0E+00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C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5">
    <xf numFmtId="0" fontId="0" fillId="0" borderId="0" xfId="0"/>
    <xf numFmtId="0" fontId="18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 vertical="center"/>
    </xf>
    <xf numFmtId="0" fontId="18" fillId="38" borderId="0" xfId="0" applyFont="1" applyFill="1" applyAlignment="1">
      <alignment horizontal="center"/>
    </xf>
    <xf numFmtId="0" fontId="18" fillId="38" borderId="0" xfId="0" applyFont="1" applyFill="1" applyAlignment="1">
      <alignment horizontal="center" vertical="center"/>
    </xf>
    <xf numFmtId="0" fontId="18" fillId="41" borderId="0" xfId="0" applyFont="1" applyFill="1" applyAlignment="1">
      <alignment horizontal="center"/>
    </xf>
    <xf numFmtId="0" fontId="18" fillId="41" borderId="0" xfId="0" applyFont="1" applyFill="1" applyAlignment="1">
      <alignment horizontal="center" vertical="center"/>
    </xf>
    <xf numFmtId="0" fontId="18" fillId="42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/>
    </xf>
    <xf numFmtId="0" fontId="18" fillId="40" borderId="0" xfId="0" applyFont="1" applyFill="1" applyAlignment="1">
      <alignment horizontal="center" vertical="center"/>
    </xf>
    <xf numFmtId="165" fontId="18" fillId="33" borderId="0" xfId="0" applyNumberFormat="1" applyFont="1" applyFill="1" applyAlignment="1">
      <alignment horizontal="center"/>
    </xf>
    <xf numFmtId="165" fontId="18" fillId="33" borderId="0" xfId="0" applyNumberFormat="1" applyFont="1" applyFill="1" applyAlignment="1">
      <alignment horizontal="center" vertical="center"/>
    </xf>
    <xf numFmtId="165" fontId="18" fillId="36" borderId="0" xfId="0" applyNumberFormat="1" applyFont="1" applyFill="1" applyAlignment="1">
      <alignment horizontal="center" vertical="center"/>
    </xf>
    <xf numFmtId="165" fontId="18" fillId="37" borderId="0" xfId="0" applyNumberFormat="1" applyFont="1" applyFill="1" applyAlignment="1">
      <alignment horizontal="center" vertical="center"/>
    </xf>
    <xf numFmtId="165" fontId="18" fillId="38" borderId="0" xfId="0" applyNumberFormat="1" applyFont="1" applyFill="1" applyAlignment="1">
      <alignment horizontal="center" vertical="center"/>
    </xf>
    <xf numFmtId="165" fontId="18" fillId="40" borderId="0" xfId="0" applyNumberFormat="1" applyFont="1" applyFill="1" applyAlignment="1">
      <alignment horizontal="center" vertical="center"/>
    </xf>
    <xf numFmtId="165" fontId="18" fillId="34" borderId="0" xfId="0" applyNumberFormat="1" applyFont="1" applyFill="1" applyAlignment="1">
      <alignment horizontal="center" vertical="center"/>
    </xf>
    <xf numFmtId="165" fontId="18" fillId="35" borderId="0" xfId="0" applyNumberFormat="1" applyFont="1" applyFill="1" applyAlignment="1">
      <alignment horizontal="center" vertical="center"/>
    </xf>
    <xf numFmtId="165" fontId="18" fillId="42" borderId="0" xfId="0" applyNumberFormat="1" applyFont="1" applyFill="1" applyAlignment="1">
      <alignment horizontal="center" vertical="center"/>
    </xf>
    <xf numFmtId="165" fontId="18" fillId="41" borderId="0" xfId="0" applyNumberFormat="1" applyFont="1" applyFill="1" applyAlignment="1">
      <alignment horizontal="center"/>
    </xf>
    <xf numFmtId="165" fontId="18" fillId="41" borderId="0" xfId="0" applyNumberFormat="1" applyFont="1" applyFill="1" applyAlignment="1">
      <alignment horizontal="center" vertical="center"/>
    </xf>
    <xf numFmtId="165" fontId="18" fillId="36" borderId="0" xfId="0" applyNumberFormat="1" applyFont="1" applyFill="1" applyAlignment="1">
      <alignment horizontal="center"/>
    </xf>
    <xf numFmtId="165" fontId="18" fillId="38" borderId="0" xfId="0" applyNumberFormat="1" applyFont="1" applyFill="1" applyAlignment="1">
      <alignment horizontal="center"/>
    </xf>
    <xf numFmtId="165" fontId="18" fillId="40" borderId="0" xfId="0" applyNumberFormat="1" applyFont="1" applyFill="1" applyAlignment="1">
      <alignment horizontal="center"/>
    </xf>
    <xf numFmtId="165" fontId="18" fillId="37" borderId="0" xfId="0" applyNumberFormat="1" applyFont="1" applyFill="1" applyAlignment="1">
      <alignment horizontal="center"/>
    </xf>
    <xf numFmtId="165" fontId="18" fillId="35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18" fillId="39" borderId="0" xfId="0" applyFont="1" applyFill="1" applyAlignment="1">
      <alignment horizontal="center" vertical="center" wrapText="1"/>
    </xf>
    <xf numFmtId="0" fontId="18" fillId="39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 vertical="center" wrapText="1"/>
    </xf>
    <xf numFmtId="0" fontId="18" fillId="41" borderId="0" xfId="0" applyFont="1" applyFill="1" applyAlignment="1">
      <alignment horizontal="center" vertical="center" wrapText="1"/>
    </xf>
    <xf numFmtId="0" fontId="20" fillId="41" borderId="0" xfId="0" applyFont="1" applyFill="1" applyAlignment="1">
      <alignment horizontal="center" vertical="center" wrapText="1"/>
    </xf>
    <xf numFmtId="165" fontId="18" fillId="39" borderId="0" xfId="0" applyNumberFormat="1" applyFont="1" applyFill="1" applyAlignment="1">
      <alignment horizontal="center" vertical="center"/>
    </xf>
    <xf numFmtId="0" fontId="18" fillId="42" borderId="0" xfId="0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43" borderId="0" xfId="0" applyFont="1" applyFill="1" applyAlignment="1">
      <alignment horizontal="center" vertical="center"/>
    </xf>
    <xf numFmtId="0" fontId="22" fillId="43" borderId="0" xfId="0" applyFont="1" applyFill="1" applyAlignment="1">
      <alignment horizontal="center" vertical="center" wrapText="1"/>
    </xf>
    <xf numFmtId="0" fontId="18" fillId="43" borderId="0" xfId="0" applyFont="1" applyFill="1" applyAlignment="1">
      <alignment horizontal="center" vertical="center"/>
    </xf>
    <xf numFmtId="0" fontId="18" fillId="43" borderId="0" xfId="0" applyFont="1" applyFill="1" applyAlignment="1">
      <alignment horizontal="center" vertical="center" wrapText="1"/>
    </xf>
    <xf numFmtId="0" fontId="22" fillId="44" borderId="0" xfId="0" applyFont="1" applyFill="1" applyAlignment="1">
      <alignment horizontal="center" vertical="center"/>
    </xf>
    <xf numFmtId="0" fontId="22" fillId="44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center" vertical="center"/>
    </xf>
    <xf numFmtId="0" fontId="18" fillId="44" borderId="0" xfId="0" applyFont="1" applyFill="1" applyAlignment="1">
      <alignment horizontal="center" vertical="center" wrapText="1"/>
    </xf>
    <xf numFmtId="2" fontId="18" fillId="43" borderId="0" xfId="0" applyNumberFormat="1" applyFont="1" applyFill="1" applyAlignment="1">
      <alignment horizontal="center" vertical="center"/>
    </xf>
    <xf numFmtId="2" fontId="18" fillId="44" borderId="0" xfId="0" applyNumberFormat="1" applyFont="1" applyFill="1" applyAlignment="1">
      <alignment horizontal="center" vertical="center"/>
    </xf>
    <xf numFmtId="2" fontId="18" fillId="43" borderId="0" xfId="0" applyNumberFormat="1" applyFont="1" applyFill="1" applyAlignment="1">
      <alignment horizontal="center" vertical="center" wrapText="1"/>
    </xf>
    <xf numFmtId="2" fontId="18" fillId="44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65" fontId="0" fillId="34" borderId="0" xfId="0" applyNumberFormat="1" applyFill="1" applyAlignment="1">
      <alignment horizontal="center" vertical="center" wrapText="1"/>
    </xf>
    <xf numFmtId="165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wrapText="1"/>
    </xf>
    <xf numFmtId="17" fontId="18" fillId="0" borderId="0" xfId="0" applyNumberFormat="1" applyFont="1" applyFill="1" applyAlignment="1">
      <alignment horizontal="center" wrapText="1"/>
    </xf>
    <xf numFmtId="15" fontId="18" fillId="0" borderId="0" xfId="0" applyNumberFormat="1" applyFont="1" applyFill="1" applyAlignment="1">
      <alignment horizontal="center" wrapText="1"/>
    </xf>
    <xf numFmtId="16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166" fontId="18" fillId="0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35" borderId="0" xfId="0" applyNumberFormat="1" applyFont="1" applyFill="1" applyAlignment="1">
      <alignment horizontal="center" vertical="center"/>
    </xf>
    <xf numFmtId="167" fontId="18" fillId="33" borderId="0" xfId="0" applyNumberFormat="1" applyFont="1" applyFill="1" applyAlignment="1">
      <alignment horizontal="center" vertical="center"/>
    </xf>
    <xf numFmtId="167" fontId="18" fillId="36" borderId="0" xfId="0" applyNumberFormat="1" applyFont="1" applyFill="1" applyAlignment="1">
      <alignment horizontal="center" vertical="center"/>
    </xf>
    <xf numFmtId="167" fontId="18" fillId="37" borderId="0" xfId="0" applyNumberFormat="1" applyFont="1" applyFill="1" applyAlignment="1">
      <alignment horizontal="center" vertical="center"/>
    </xf>
    <xf numFmtId="167" fontId="18" fillId="38" borderId="0" xfId="0" applyNumberFormat="1" applyFont="1" applyFill="1" applyAlignment="1">
      <alignment horizontal="center" vertical="center"/>
    </xf>
    <xf numFmtId="167" fontId="18" fillId="40" borderId="0" xfId="0" applyNumberFormat="1" applyFont="1" applyFill="1" applyAlignment="1">
      <alignment horizontal="center" vertical="center"/>
    </xf>
    <xf numFmtId="167" fontId="18" fillId="42" borderId="0" xfId="0" applyNumberFormat="1" applyFont="1" applyFill="1" applyAlignment="1">
      <alignment horizontal="center" vertical="center"/>
    </xf>
    <xf numFmtId="167" fontId="18" fillId="41" borderId="0" xfId="0" applyNumberFormat="1" applyFont="1" applyFill="1" applyAlignment="1">
      <alignment horizontal="center" vertical="center"/>
    </xf>
    <xf numFmtId="167" fontId="18" fillId="34" borderId="0" xfId="0" applyNumberFormat="1" applyFont="1" applyFill="1" applyAlignment="1">
      <alignment horizontal="center" vertical="center"/>
    </xf>
    <xf numFmtId="167" fontId="18" fillId="35" borderId="0" xfId="0" applyNumberFormat="1" applyFont="1" applyFill="1" applyAlignment="1">
      <alignment horizontal="center" vertical="center"/>
    </xf>
    <xf numFmtId="167" fontId="0" fillId="34" borderId="0" xfId="0" applyNumberFormat="1" applyFill="1" applyAlignment="1">
      <alignment horizontal="center" vertical="center" wrapText="1"/>
    </xf>
    <xf numFmtId="167" fontId="18" fillId="39" borderId="0" xfId="0" applyNumberFormat="1" applyFont="1" applyFill="1" applyAlignment="1">
      <alignment horizontal="center" vertical="center"/>
    </xf>
    <xf numFmtId="167" fontId="18" fillId="43" borderId="0" xfId="0" applyNumberFormat="1" applyFont="1" applyFill="1" applyAlignment="1">
      <alignment horizontal="center" vertical="center"/>
    </xf>
    <xf numFmtId="167" fontId="18" fillId="44" borderId="0" xfId="0" applyNumberFormat="1" applyFont="1" applyFill="1" applyAlignment="1">
      <alignment horizontal="center" vertical="center"/>
    </xf>
    <xf numFmtId="167" fontId="18" fillId="41" borderId="0" xfId="0" applyNumberFormat="1" applyFon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0" fontId="18" fillId="45" borderId="0" xfId="0" applyFont="1" applyFill="1" applyAlignment="1">
      <alignment horizontal="center" vertical="center" wrapText="1"/>
    </xf>
    <xf numFmtId="0" fontId="20" fillId="45" borderId="0" xfId="0" applyFont="1" applyFill="1" applyAlignment="1">
      <alignment horizontal="center" vertical="center" wrapText="1"/>
    </xf>
    <xf numFmtId="0" fontId="18" fillId="45" borderId="0" xfId="0" applyFont="1" applyFill="1" applyAlignment="1">
      <alignment horizontal="center" vertical="center"/>
    </xf>
    <xf numFmtId="0" fontId="18" fillId="45" borderId="0" xfId="0" applyFont="1" applyFill="1" applyAlignment="1">
      <alignment horizontal="center"/>
    </xf>
    <xf numFmtId="167" fontId="18" fillId="45" borderId="0" xfId="0" applyNumberFormat="1" applyFont="1" applyFill="1" applyAlignment="1">
      <alignment horizontal="center" vertical="center"/>
    </xf>
    <xf numFmtId="165" fontId="18" fillId="45" borderId="0" xfId="0" applyNumberFormat="1" applyFont="1" applyFill="1" applyAlignment="1">
      <alignment horizontal="center" vertical="center"/>
    </xf>
    <xf numFmtId="165" fontId="18" fillId="45" borderId="0" xfId="0" applyNumberFormat="1" applyFont="1" applyFill="1" applyAlignment="1">
      <alignment horizontal="center"/>
    </xf>
    <xf numFmtId="2" fontId="18" fillId="46" borderId="0" xfId="0" applyNumberFormat="1" applyFont="1" applyFill="1" applyAlignment="1">
      <alignment horizontal="center" vertical="center"/>
    </xf>
    <xf numFmtId="2" fontId="18" fillId="46" borderId="0" xfId="0" applyNumberFormat="1" applyFont="1" applyFill="1" applyAlignment="1">
      <alignment horizontal="center" vertical="center" wrapText="1"/>
    </xf>
    <xf numFmtId="0" fontId="18" fillId="46" borderId="0" xfId="0" applyFont="1" applyFill="1" applyAlignment="1">
      <alignment horizontal="center" vertical="center"/>
    </xf>
    <xf numFmtId="0" fontId="18" fillId="46" borderId="0" xfId="0" applyFont="1" applyFill="1" applyAlignment="1">
      <alignment horizontal="center" vertical="center" wrapText="1"/>
    </xf>
    <xf numFmtId="167" fontId="18" fillId="46" borderId="0" xfId="0" applyNumberFormat="1" applyFont="1" applyFill="1" applyAlignment="1">
      <alignment horizontal="center" vertical="center"/>
    </xf>
    <xf numFmtId="0" fontId="22" fillId="46" borderId="0" xfId="0" applyFont="1" applyFill="1" applyAlignment="1">
      <alignment horizontal="center" vertical="center"/>
    </xf>
    <xf numFmtId="0" fontId="22" fillId="46" borderId="0" xfId="0" applyFont="1" applyFill="1" applyAlignment="1">
      <alignment horizontal="center" vertical="center" wrapText="1"/>
    </xf>
    <xf numFmtId="0" fontId="14" fillId="42" borderId="0" xfId="0" applyFont="1" applyFill="1" applyAlignment="1">
      <alignment horizontal="center" vertical="center"/>
    </xf>
    <xf numFmtId="0" fontId="14" fillId="41" borderId="0" xfId="0" applyFont="1" applyFill="1" applyAlignment="1">
      <alignment horizontal="center"/>
    </xf>
    <xf numFmtId="0" fontId="14" fillId="45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9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14" fillId="38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4" fillId="40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40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168" fontId="18" fillId="42" borderId="0" xfId="0" applyNumberFormat="1" applyFont="1" applyFill="1" applyAlignment="1">
      <alignment horizontal="center" vertical="center"/>
    </xf>
    <xf numFmtId="168" fontId="18" fillId="42" borderId="0" xfId="0" applyNumberFormat="1" applyFont="1" applyFill="1" applyAlignment="1">
      <alignment horizontal="center"/>
    </xf>
    <xf numFmtId="168" fontId="18" fillId="41" borderId="0" xfId="0" applyNumberFormat="1" applyFont="1" applyFill="1" applyAlignment="1">
      <alignment horizontal="center"/>
    </xf>
    <xf numFmtId="168" fontId="18" fillId="45" borderId="0" xfId="0" applyNumberFormat="1" applyFont="1" applyFill="1" applyAlignment="1">
      <alignment horizontal="center" vertical="center"/>
    </xf>
    <xf numFmtId="168" fontId="18" fillId="33" borderId="0" xfId="0" applyNumberFormat="1" applyFont="1" applyFill="1" applyAlignment="1">
      <alignment horizontal="center" vertical="center"/>
    </xf>
    <xf numFmtId="168" fontId="18" fillId="33" borderId="0" xfId="0" applyNumberFormat="1" applyFont="1" applyFill="1" applyAlignment="1">
      <alignment horizontal="center"/>
    </xf>
    <xf numFmtId="168" fontId="18" fillId="40" borderId="0" xfId="0" applyNumberFormat="1" applyFont="1" applyFill="1" applyAlignment="1">
      <alignment horizontal="center" vertical="center"/>
    </xf>
    <xf numFmtId="168" fontId="18" fillId="36" borderId="0" xfId="0" applyNumberFormat="1" applyFont="1" applyFill="1" applyAlignment="1">
      <alignment horizontal="center" vertical="center"/>
    </xf>
    <xf numFmtId="168" fontId="18" fillId="37" borderId="0" xfId="0" applyNumberFormat="1" applyFont="1" applyFill="1" applyAlignment="1">
      <alignment horizontal="center" vertical="center"/>
    </xf>
    <xf numFmtId="168" fontId="18" fillId="38" borderId="0" xfId="0" applyNumberFormat="1" applyFont="1" applyFill="1" applyAlignment="1">
      <alignment horizontal="center" vertical="center"/>
    </xf>
    <xf numFmtId="168" fontId="18" fillId="34" borderId="0" xfId="0" applyNumberFormat="1" applyFont="1" applyFill="1" applyAlignment="1">
      <alignment horizontal="center" vertical="center"/>
    </xf>
    <xf numFmtId="168" fontId="18" fillId="35" borderId="0" xfId="0" applyNumberFormat="1" applyFont="1" applyFill="1" applyAlignment="1">
      <alignment horizontal="center" vertical="center"/>
    </xf>
    <xf numFmtId="168" fontId="0" fillId="34" borderId="0" xfId="0" applyNumberFormat="1" applyFill="1" applyAlignment="1">
      <alignment horizontal="center" vertical="center" wrapText="1"/>
    </xf>
    <xf numFmtId="168" fontId="18" fillId="39" borderId="0" xfId="0" applyNumberFormat="1" applyFont="1" applyFill="1" applyAlignment="1">
      <alignment horizontal="center" vertical="center"/>
    </xf>
    <xf numFmtId="168" fontId="18" fillId="43" borderId="0" xfId="0" applyNumberFormat="1" applyFont="1" applyFill="1" applyAlignment="1">
      <alignment horizontal="center" vertical="center"/>
    </xf>
    <xf numFmtId="168" fontId="18" fillId="44" borderId="0" xfId="0" applyNumberFormat="1" applyFont="1" applyFill="1" applyAlignment="1">
      <alignment horizontal="center" vertical="center"/>
    </xf>
    <xf numFmtId="168" fontId="18" fillId="46" borderId="0" xfId="0" applyNumberFormat="1" applyFont="1" applyFill="1" applyAlignment="1">
      <alignment horizontal="center" vertical="center"/>
    </xf>
    <xf numFmtId="168" fontId="18" fillId="40" borderId="0" xfId="0" applyNumberFormat="1" applyFont="1" applyFill="1" applyAlignment="1">
      <alignment horizontal="center"/>
    </xf>
    <xf numFmtId="168" fontId="18" fillId="36" borderId="0" xfId="0" applyNumberFormat="1" applyFont="1" applyFill="1" applyAlignment="1">
      <alignment horizontal="center"/>
    </xf>
    <xf numFmtId="168" fontId="18" fillId="38" borderId="0" xfId="0" applyNumberFormat="1" applyFont="1" applyFill="1" applyAlignment="1">
      <alignment horizontal="center"/>
    </xf>
    <xf numFmtId="168" fontId="18" fillId="41" borderId="0" xfId="0" applyNumberFormat="1" applyFont="1" applyFill="1" applyAlignment="1">
      <alignment horizontal="center" vertical="center"/>
    </xf>
    <xf numFmtId="168" fontId="18" fillId="35" borderId="0" xfId="0" applyNumberFormat="1" applyFont="1" applyFill="1" applyAlignment="1">
      <alignment horizontal="center"/>
    </xf>
    <xf numFmtId="168" fontId="0" fillId="34" borderId="0" xfId="0" applyNumberFormat="1" applyFill="1" applyAlignment="1">
      <alignment horizontal="center"/>
    </xf>
    <xf numFmtId="168" fontId="18" fillId="37" borderId="0" xfId="0" applyNumberFormat="1" applyFont="1" applyFill="1" applyAlignment="1">
      <alignment horizontal="center"/>
    </xf>
    <xf numFmtId="168" fontId="18" fillId="45" borderId="0" xfId="0" applyNumberFormat="1" applyFont="1" applyFill="1" applyAlignment="1">
      <alignment horizont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.0E+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361950</xdr:colOff>
      <xdr:row>6</xdr:row>
      <xdr:rowOff>361950</xdr:rowOff>
    </xdr:to>
    <xdr:pic>
      <xdr:nvPicPr>
        <xdr:cNvPr id="13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C59193D2-9096-4EE5-B08B-C6956A6A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34290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361950</xdr:colOff>
      <xdr:row>6</xdr:row>
      <xdr:rowOff>361950</xdr:rowOff>
    </xdr:to>
    <xdr:pic>
      <xdr:nvPicPr>
        <xdr:cNvPr id="14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539EE866-5E77-41F4-AFAF-AE1FDD1C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361950</xdr:colOff>
      <xdr:row>6</xdr:row>
      <xdr:rowOff>361950</xdr:rowOff>
    </xdr:to>
    <xdr:pic>
      <xdr:nvPicPr>
        <xdr:cNvPr id="15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263A4F84-B38B-4EE5-8473-DFD847C4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361950</xdr:colOff>
      <xdr:row>6</xdr:row>
      <xdr:rowOff>361950</xdr:rowOff>
    </xdr:to>
    <xdr:pic>
      <xdr:nvPicPr>
        <xdr:cNvPr id="16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64BF5420-7C2E-4499-9B87-7FA8E2AF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361950</xdr:colOff>
      <xdr:row>6</xdr:row>
      <xdr:rowOff>361950</xdr:rowOff>
    </xdr:to>
    <xdr:pic>
      <xdr:nvPicPr>
        <xdr:cNvPr id="17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E7374296-ACDA-47B5-AC0F-131999AD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361950</xdr:colOff>
      <xdr:row>6</xdr:row>
      <xdr:rowOff>361950</xdr:rowOff>
    </xdr:to>
    <xdr:pic>
      <xdr:nvPicPr>
        <xdr:cNvPr id="18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6E2AD40A-1B89-41FB-BC0A-ABCEF866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361950</xdr:colOff>
      <xdr:row>6</xdr:row>
      <xdr:rowOff>361950</xdr:rowOff>
    </xdr:to>
    <xdr:pic>
      <xdr:nvPicPr>
        <xdr:cNvPr id="19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84C0692C-C597-4999-82A2-B61504A7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361950</xdr:colOff>
      <xdr:row>6</xdr:row>
      <xdr:rowOff>361950</xdr:rowOff>
    </xdr:to>
    <xdr:pic>
      <xdr:nvPicPr>
        <xdr:cNvPr id="20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409C9C85-7059-4E01-9C55-C2F411E5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361950</xdr:colOff>
      <xdr:row>6</xdr:row>
      <xdr:rowOff>361950</xdr:rowOff>
    </xdr:to>
    <xdr:pic>
      <xdr:nvPicPr>
        <xdr:cNvPr id="21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A8E8B363-FB98-4E83-AFB8-D8F467D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5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361950</xdr:colOff>
      <xdr:row>6</xdr:row>
      <xdr:rowOff>361950</xdr:rowOff>
    </xdr:to>
    <xdr:pic>
      <xdr:nvPicPr>
        <xdr:cNvPr id="22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ABD6A9C0-0E1A-46A6-9755-810E24CD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29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361950</xdr:colOff>
      <xdr:row>6</xdr:row>
      <xdr:rowOff>361950</xdr:rowOff>
    </xdr:to>
    <xdr:pic>
      <xdr:nvPicPr>
        <xdr:cNvPr id="23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2F7154C5-4C58-4733-B256-694C843F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02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1133475</xdr:colOff>
      <xdr:row>6</xdr:row>
      <xdr:rowOff>352425</xdr:rowOff>
    </xdr:to>
    <xdr:pic>
      <xdr:nvPicPr>
        <xdr:cNvPr id="24" name="Picture 15" descr="aaaaaadd">
          <a:extLst>
            <a:ext uri="{FF2B5EF4-FFF2-40B4-BE49-F238E27FC236}">
              <a16:creationId xmlns:a16="http://schemas.microsoft.com/office/drawing/2014/main" id="{3034C040-5BD7-4302-B81D-7272199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3933825"/>
          <a:ext cx="1133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361950</xdr:colOff>
      <xdr:row>6</xdr:row>
      <xdr:rowOff>361950</xdr:rowOff>
    </xdr:to>
    <xdr:pic>
      <xdr:nvPicPr>
        <xdr:cNvPr id="25" name="Picture 17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39567ADC-D41F-437D-8BDD-E623C538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361950</xdr:colOff>
      <xdr:row>6</xdr:row>
      <xdr:rowOff>361950</xdr:rowOff>
    </xdr:to>
    <xdr:pic>
      <xdr:nvPicPr>
        <xdr:cNvPr id="26" name="Picture 17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FBE462A7-923B-412C-8958-D243DE6A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3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942975</xdr:colOff>
      <xdr:row>6</xdr:row>
      <xdr:rowOff>361950</xdr:rowOff>
    </xdr:to>
    <xdr:pic>
      <xdr:nvPicPr>
        <xdr:cNvPr id="27" name="Picture 18" descr="assd">
          <a:extLst>
            <a:ext uri="{FF2B5EF4-FFF2-40B4-BE49-F238E27FC236}">
              <a16:creationId xmlns:a16="http://schemas.microsoft.com/office/drawing/2014/main" id="{D1ED4764-32DF-4D5B-A181-25055BC7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9675" y="3933825"/>
          <a:ext cx="942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942975</xdr:colOff>
      <xdr:row>6</xdr:row>
      <xdr:rowOff>361950</xdr:rowOff>
    </xdr:to>
    <xdr:pic>
      <xdr:nvPicPr>
        <xdr:cNvPr id="28" name="Picture 18" descr="assd">
          <a:extLst>
            <a:ext uri="{FF2B5EF4-FFF2-40B4-BE49-F238E27FC236}">
              <a16:creationId xmlns:a16="http://schemas.microsoft.com/office/drawing/2014/main" id="{A29F627B-3C51-4A0C-A6B5-399D622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27025" y="3933825"/>
          <a:ext cx="942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361950</xdr:colOff>
      <xdr:row>6</xdr:row>
      <xdr:rowOff>361950</xdr:rowOff>
    </xdr:to>
    <xdr:pic>
      <xdr:nvPicPr>
        <xdr:cNvPr id="29" name="Picture 20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CBB58557-6245-4F50-B973-1C72083C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361950</xdr:colOff>
      <xdr:row>6</xdr:row>
      <xdr:rowOff>361950</xdr:rowOff>
    </xdr:to>
    <xdr:pic>
      <xdr:nvPicPr>
        <xdr:cNvPr id="30" name="Picture 20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C07EF22C-2879-49F8-B647-FE6A7501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172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361950</xdr:colOff>
      <xdr:row>6</xdr:row>
      <xdr:rowOff>361950</xdr:rowOff>
    </xdr:to>
    <xdr:pic>
      <xdr:nvPicPr>
        <xdr:cNvPr id="31" name="Picture 20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9534ED31-D5FE-410B-A15A-920A323F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9075" y="39338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542925</xdr:colOff>
      <xdr:row>6</xdr:row>
      <xdr:rowOff>361950</xdr:rowOff>
    </xdr:to>
    <xdr:pic>
      <xdr:nvPicPr>
        <xdr:cNvPr id="32" name="Picture 24" descr="Αποτέλεσμα εικόνας για greece flag">
          <a:extLst>
            <a:ext uri="{FF2B5EF4-FFF2-40B4-BE49-F238E27FC236}">
              <a16:creationId xmlns:a16="http://schemas.microsoft.com/office/drawing/2014/main" id="{38439AC8-7775-4B6F-82CF-11E37CC9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6425" y="3933825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542925</xdr:colOff>
      <xdr:row>6</xdr:row>
      <xdr:rowOff>361950</xdr:rowOff>
    </xdr:to>
    <xdr:pic>
      <xdr:nvPicPr>
        <xdr:cNvPr id="33" name="Picture 24" descr="Αποτέλεσμα εικόνας για greece flag">
          <a:extLst>
            <a:ext uri="{FF2B5EF4-FFF2-40B4-BE49-F238E27FC236}">
              <a16:creationId xmlns:a16="http://schemas.microsoft.com/office/drawing/2014/main" id="{B2D335DA-6F39-468F-BFF5-FDBE2AFF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3775" y="3933825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542925</xdr:colOff>
      <xdr:row>6</xdr:row>
      <xdr:rowOff>361950</xdr:rowOff>
    </xdr:to>
    <xdr:pic>
      <xdr:nvPicPr>
        <xdr:cNvPr id="34" name="Picture 24" descr="Αποτέλεσμα εικόνας για greece flag">
          <a:extLst>
            <a:ext uri="{FF2B5EF4-FFF2-40B4-BE49-F238E27FC236}">
              <a16:creationId xmlns:a16="http://schemas.microsoft.com/office/drawing/2014/main" id="{718352DA-B587-4FF7-A768-3C04C8D6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1125" y="3933825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542925</xdr:colOff>
      <xdr:row>6</xdr:row>
      <xdr:rowOff>361950</xdr:rowOff>
    </xdr:to>
    <xdr:pic>
      <xdr:nvPicPr>
        <xdr:cNvPr id="35" name="Picture 24" descr="Αποτέλεσμα εικόνας για greece flag">
          <a:extLst>
            <a:ext uri="{FF2B5EF4-FFF2-40B4-BE49-F238E27FC236}">
              <a16:creationId xmlns:a16="http://schemas.microsoft.com/office/drawing/2014/main" id="{1BB87527-C738-4B13-9E20-0247A676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28475" y="3933825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552450</xdr:colOff>
      <xdr:row>6</xdr:row>
      <xdr:rowOff>366032</xdr:rowOff>
    </xdr:to>
    <xdr:pic>
      <xdr:nvPicPr>
        <xdr:cNvPr id="36" name="Picture 30" descr="https://upload.wikimedia.org/wikipedia/en/thumb/9/9a/Flag_of_Spain.svg/1280px-Flag_of_Spain.svg.png">
          <a:extLst>
            <a:ext uri="{FF2B5EF4-FFF2-40B4-BE49-F238E27FC236}">
              <a16:creationId xmlns:a16="http://schemas.microsoft.com/office/drawing/2014/main" id="{AB93B060-38AA-44B3-9C4D-65FB86C6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58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552450</xdr:colOff>
      <xdr:row>6</xdr:row>
      <xdr:rowOff>366032</xdr:rowOff>
    </xdr:to>
    <xdr:pic>
      <xdr:nvPicPr>
        <xdr:cNvPr id="37" name="Picture 30" descr="https://upload.wikimedia.org/wikipedia/en/thumb/9/9a/Flag_of_Spain.svg/1280px-Flag_of_Spain.svg.png">
          <a:extLst>
            <a:ext uri="{FF2B5EF4-FFF2-40B4-BE49-F238E27FC236}">
              <a16:creationId xmlns:a16="http://schemas.microsoft.com/office/drawing/2014/main" id="{42CB3A9F-68BB-42D3-B12A-54B63689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31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552450</xdr:colOff>
      <xdr:row>6</xdr:row>
      <xdr:rowOff>366032</xdr:rowOff>
    </xdr:to>
    <xdr:pic>
      <xdr:nvPicPr>
        <xdr:cNvPr id="38" name="Picture 30" descr="https://upload.wikimedia.org/wikipedia/en/thumb/9/9a/Flag_of_Spain.svg/1280px-Flag_of_Spain.svg.png">
          <a:extLst>
            <a:ext uri="{FF2B5EF4-FFF2-40B4-BE49-F238E27FC236}">
              <a16:creationId xmlns:a16="http://schemas.microsoft.com/office/drawing/2014/main" id="{A024CD5E-DC98-402B-A9BF-D720B59C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05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552450</xdr:colOff>
      <xdr:row>6</xdr:row>
      <xdr:rowOff>366032</xdr:rowOff>
    </xdr:to>
    <xdr:pic>
      <xdr:nvPicPr>
        <xdr:cNvPr id="41" name="Picture 38" descr="Αποτέλεσμα εικόνας για netherlands flag">
          <a:extLst>
            <a:ext uri="{FF2B5EF4-FFF2-40B4-BE49-F238E27FC236}">
              <a16:creationId xmlns:a16="http://schemas.microsoft.com/office/drawing/2014/main" id="{7FBD0731-892A-4688-BC7B-3AD15C1E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725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552450</xdr:colOff>
      <xdr:row>6</xdr:row>
      <xdr:rowOff>366032</xdr:rowOff>
    </xdr:to>
    <xdr:pic>
      <xdr:nvPicPr>
        <xdr:cNvPr id="42" name="Picture 38" descr="Αποτέλεσμα εικόνας για netherlands flag">
          <a:extLst>
            <a:ext uri="{FF2B5EF4-FFF2-40B4-BE49-F238E27FC236}">
              <a16:creationId xmlns:a16="http://schemas.microsoft.com/office/drawing/2014/main" id="{CDBFBE14-95E5-4FC9-963F-B385C48B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99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552450</xdr:colOff>
      <xdr:row>6</xdr:row>
      <xdr:rowOff>366032</xdr:rowOff>
    </xdr:to>
    <xdr:pic>
      <xdr:nvPicPr>
        <xdr:cNvPr id="43" name="Picture 38" descr="Αποτέλεσμα εικόνας για netherlands flag">
          <a:extLst>
            <a:ext uri="{FF2B5EF4-FFF2-40B4-BE49-F238E27FC236}">
              <a16:creationId xmlns:a16="http://schemas.microsoft.com/office/drawing/2014/main" id="{24ACA9C1-E90E-48ED-94DB-B2A9A69B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72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552450</xdr:colOff>
      <xdr:row>6</xdr:row>
      <xdr:rowOff>366032</xdr:rowOff>
    </xdr:to>
    <xdr:pic>
      <xdr:nvPicPr>
        <xdr:cNvPr id="44" name="Picture 38" descr="Αποτέλεσμα εικόνας για netherlands flag">
          <a:extLst>
            <a:ext uri="{FF2B5EF4-FFF2-40B4-BE49-F238E27FC236}">
              <a16:creationId xmlns:a16="http://schemas.microsoft.com/office/drawing/2014/main" id="{199996EA-E17A-4985-876D-D1BAA1C9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46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552450</xdr:colOff>
      <xdr:row>6</xdr:row>
      <xdr:rowOff>366032</xdr:rowOff>
    </xdr:to>
    <xdr:pic>
      <xdr:nvPicPr>
        <xdr:cNvPr id="45" name="Picture 38" descr="Αποτέλεσμα εικόνας για netherlands flag">
          <a:extLst>
            <a:ext uri="{FF2B5EF4-FFF2-40B4-BE49-F238E27FC236}">
              <a16:creationId xmlns:a16="http://schemas.microsoft.com/office/drawing/2014/main" id="{0018FBD5-5C44-4DA8-9527-809D0E2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19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552450</xdr:colOff>
      <xdr:row>6</xdr:row>
      <xdr:rowOff>366032</xdr:rowOff>
    </xdr:to>
    <xdr:pic>
      <xdr:nvPicPr>
        <xdr:cNvPr id="46" name="Picture 38" descr="Αποτέλεσμα εικόνας για netherlands flag">
          <a:extLst>
            <a:ext uri="{FF2B5EF4-FFF2-40B4-BE49-F238E27FC236}">
              <a16:creationId xmlns:a16="http://schemas.microsoft.com/office/drawing/2014/main" id="{4EA06E32-FE5D-467F-9F94-692CA17E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593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552450</xdr:colOff>
      <xdr:row>6</xdr:row>
      <xdr:rowOff>366032</xdr:rowOff>
    </xdr:to>
    <xdr:pic>
      <xdr:nvPicPr>
        <xdr:cNvPr id="47" name="Picture 38" descr="Αποτέλεσμα εικόνας για netherlands flag">
          <a:extLst>
            <a:ext uri="{FF2B5EF4-FFF2-40B4-BE49-F238E27FC236}">
              <a16:creationId xmlns:a16="http://schemas.microsoft.com/office/drawing/2014/main" id="{BB9A8614-A7E1-479E-AA21-E3E5AD38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166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552450</xdr:colOff>
      <xdr:row>6</xdr:row>
      <xdr:rowOff>366032</xdr:rowOff>
    </xdr:to>
    <xdr:pic>
      <xdr:nvPicPr>
        <xdr:cNvPr id="48" name="Picture 38" descr="Αποτέλεσμα εικόνας για netherlands flag">
          <a:extLst>
            <a:ext uri="{FF2B5EF4-FFF2-40B4-BE49-F238E27FC236}">
              <a16:creationId xmlns:a16="http://schemas.microsoft.com/office/drawing/2014/main" id="{CF911987-31CE-4510-B0E9-732A3D84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552450</xdr:colOff>
      <xdr:row>6</xdr:row>
      <xdr:rowOff>366032</xdr:rowOff>
    </xdr:to>
    <xdr:pic>
      <xdr:nvPicPr>
        <xdr:cNvPr id="49" name="Picture 38" descr="Αποτέλεσμα εικόνας για netherlands flag">
          <a:extLst>
            <a:ext uri="{FF2B5EF4-FFF2-40B4-BE49-F238E27FC236}">
              <a16:creationId xmlns:a16="http://schemas.microsoft.com/office/drawing/2014/main" id="{5EFD7774-FF17-4723-B4B0-62E7F885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137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552450</xdr:colOff>
      <xdr:row>6</xdr:row>
      <xdr:rowOff>366032</xdr:rowOff>
    </xdr:to>
    <xdr:pic>
      <xdr:nvPicPr>
        <xdr:cNvPr id="50" name="Picture 38" descr="Αποτέλεσμα εικόνας για netherlands flag">
          <a:extLst>
            <a:ext uri="{FF2B5EF4-FFF2-40B4-BE49-F238E27FC236}">
              <a16:creationId xmlns:a16="http://schemas.microsoft.com/office/drawing/2014/main" id="{0D86436E-F201-4F96-B645-1135E63C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8725" y="3933825"/>
          <a:ext cx="5524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736147</xdr:colOff>
      <xdr:row>6</xdr:row>
      <xdr:rowOff>366032</xdr:rowOff>
    </xdr:to>
    <xdr:pic>
      <xdr:nvPicPr>
        <xdr:cNvPr id="53" name="Picture 49" descr="Flag of Australia.svg">
          <a:extLst>
            <a:ext uri="{FF2B5EF4-FFF2-40B4-BE49-F238E27FC236}">
              <a16:creationId xmlns:a16="http://schemas.microsoft.com/office/drawing/2014/main" id="{B84059F4-E9FA-4954-A2CE-7773C68A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51050" y="3933825"/>
          <a:ext cx="736147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736147</xdr:colOff>
      <xdr:row>6</xdr:row>
      <xdr:rowOff>366032</xdr:rowOff>
    </xdr:to>
    <xdr:pic>
      <xdr:nvPicPr>
        <xdr:cNvPr id="54" name="Picture 49" descr="Flag of Australia.svg">
          <a:extLst>
            <a:ext uri="{FF2B5EF4-FFF2-40B4-BE49-F238E27FC236}">
              <a16:creationId xmlns:a16="http://schemas.microsoft.com/office/drawing/2014/main" id="{8A2A2F3C-609A-49CF-B26E-C5C249B4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46075" y="3933825"/>
          <a:ext cx="736147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736147</xdr:colOff>
      <xdr:row>6</xdr:row>
      <xdr:rowOff>366032</xdr:rowOff>
    </xdr:to>
    <xdr:pic>
      <xdr:nvPicPr>
        <xdr:cNvPr id="55" name="Picture 49" descr="Flag of Australia.svg">
          <a:extLst>
            <a:ext uri="{FF2B5EF4-FFF2-40B4-BE49-F238E27FC236}">
              <a16:creationId xmlns:a16="http://schemas.microsoft.com/office/drawing/2014/main" id="{2B162257-41E3-4D38-9CFB-3DAA06B8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2700" y="3933825"/>
          <a:ext cx="736147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736147</xdr:colOff>
      <xdr:row>6</xdr:row>
      <xdr:rowOff>366032</xdr:rowOff>
    </xdr:to>
    <xdr:pic>
      <xdr:nvPicPr>
        <xdr:cNvPr id="56" name="Picture 49" descr="Flag of Australia.svg">
          <a:extLst>
            <a:ext uri="{FF2B5EF4-FFF2-40B4-BE49-F238E27FC236}">
              <a16:creationId xmlns:a16="http://schemas.microsoft.com/office/drawing/2014/main" id="{BC621010-7D1B-44F2-A420-82401B46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80025" y="3933825"/>
          <a:ext cx="736147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736147</xdr:colOff>
      <xdr:row>6</xdr:row>
      <xdr:rowOff>366032</xdr:rowOff>
    </xdr:to>
    <xdr:pic>
      <xdr:nvPicPr>
        <xdr:cNvPr id="57" name="Picture 49" descr="Flag of Australia.svg">
          <a:extLst>
            <a:ext uri="{FF2B5EF4-FFF2-40B4-BE49-F238E27FC236}">
              <a16:creationId xmlns:a16="http://schemas.microsoft.com/office/drawing/2014/main" id="{588A99BB-7244-4F77-8AB8-6F8CF2C7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9300" y="3933825"/>
          <a:ext cx="736147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1</xdr:colOff>
      <xdr:row>6</xdr:row>
      <xdr:rowOff>0</xdr:rowOff>
    </xdr:from>
    <xdr:to>
      <xdr:col>35</xdr:col>
      <xdr:colOff>494518</xdr:colOff>
      <xdr:row>6</xdr:row>
      <xdr:rowOff>365760</xdr:rowOff>
    </xdr:to>
    <xdr:pic>
      <xdr:nvPicPr>
        <xdr:cNvPr id="58" name="Picture 53" descr="Αποτέλεσμα εικόνας για NORWAY FLAG">
          <a:extLst>
            <a:ext uri="{FF2B5EF4-FFF2-40B4-BE49-F238E27FC236}">
              <a16:creationId xmlns:a16="http://schemas.microsoft.com/office/drawing/2014/main" id="{F21D9CAA-F118-4984-B1F8-079579B2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1926" y="3429000"/>
          <a:ext cx="494517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590550</xdr:colOff>
      <xdr:row>6</xdr:row>
      <xdr:rowOff>366032</xdr:rowOff>
    </xdr:to>
    <xdr:pic>
      <xdr:nvPicPr>
        <xdr:cNvPr id="59" name="Picture 13" descr="Výsledok vyhľadávania obrázkov pre dopyt finland flag">
          <a:extLst>
            <a:ext uri="{FF2B5EF4-FFF2-40B4-BE49-F238E27FC236}">
              <a16:creationId xmlns:a16="http://schemas.microsoft.com/office/drawing/2014/main" id="{EA320E1D-020B-40C5-B2AE-B72E12B2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71100" y="3933825"/>
          <a:ext cx="590550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581025</xdr:colOff>
      <xdr:row>6</xdr:row>
      <xdr:rowOff>366032</xdr:rowOff>
    </xdr:to>
    <xdr:pic>
      <xdr:nvPicPr>
        <xdr:cNvPr id="60" name="Picture 32" descr="Flag of Sweden.svg">
          <a:extLst>
            <a:ext uri="{FF2B5EF4-FFF2-40B4-BE49-F238E27FC236}">
              <a16:creationId xmlns:a16="http://schemas.microsoft.com/office/drawing/2014/main" id="{AA8ED98C-D955-48FB-AE50-351DE029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56975" y="3933825"/>
          <a:ext cx="581025" cy="36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481493</xdr:colOff>
      <xdr:row>6</xdr:row>
      <xdr:rowOff>365760</xdr:rowOff>
    </xdr:to>
    <xdr:pic>
      <xdr:nvPicPr>
        <xdr:cNvPr id="61" name="Picture 33" descr="Flag of Denmark.svg">
          <a:extLst>
            <a:ext uri="{FF2B5EF4-FFF2-40B4-BE49-F238E27FC236}">
              <a16:creationId xmlns:a16="http://schemas.microsoft.com/office/drawing/2014/main" id="{61088E61-FD49-4EFF-AF55-6A1C33FB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550" y="3429000"/>
          <a:ext cx="481493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499182</xdr:colOff>
      <xdr:row>6</xdr:row>
      <xdr:rowOff>365760</xdr:rowOff>
    </xdr:to>
    <xdr:pic>
      <xdr:nvPicPr>
        <xdr:cNvPr id="62" name="Picture 34" descr="Flag of Iceland.svg">
          <a:extLst>
            <a:ext uri="{FF2B5EF4-FFF2-40B4-BE49-F238E27FC236}">
              <a16:creationId xmlns:a16="http://schemas.microsoft.com/office/drawing/2014/main" id="{08AF42CD-7649-4604-8B3B-F85A0271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5425" y="3429000"/>
          <a:ext cx="49918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6</xdr:row>
      <xdr:rowOff>0</xdr:rowOff>
    </xdr:from>
    <xdr:ext cx="361950" cy="361950"/>
    <xdr:pic>
      <xdr:nvPicPr>
        <xdr:cNvPr id="65" name="Picture 4" descr="https://upload.wikimedia.org/wikipedia/commons/thumb/0/08/Flag_of_Switzerland_(Pantone).svg/170px-Flag_of_Switzerland_(Pantone).svg.png">
          <a:extLst>
            <a:ext uri="{FF2B5EF4-FFF2-40B4-BE49-F238E27FC236}">
              <a16:creationId xmlns:a16="http://schemas.microsoft.com/office/drawing/2014/main" id="{F801E1A8-4434-40F2-84CF-5D3BAD92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4290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</xdr:col>
      <xdr:colOff>0</xdr:colOff>
      <xdr:row>6</xdr:row>
      <xdr:rowOff>0</xdr:rowOff>
    </xdr:from>
    <xdr:to>
      <xdr:col>33</xdr:col>
      <xdr:colOff>542925</xdr:colOff>
      <xdr:row>6</xdr:row>
      <xdr:rowOff>361950</xdr:rowOff>
    </xdr:to>
    <xdr:pic>
      <xdr:nvPicPr>
        <xdr:cNvPr id="66" name="Picture 24" descr="Αποτέλεσμα εικόνας για greece flag">
          <a:extLst>
            <a:ext uri="{FF2B5EF4-FFF2-40B4-BE49-F238E27FC236}">
              <a16:creationId xmlns:a16="http://schemas.microsoft.com/office/drawing/2014/main" id="{706EC7F8-5FFC-478A-AF20-B0FCC58B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4575" y="3429000"/>
          <a:ext cx="542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6</xdr:row>
      <xdr:rowOff>0</xdr:rowOff>
    </xdr:from>
    <xdr:to>
      <xdr:col>34</xdr:col>
      <xdr:colOff>640080</xdr:colOff>
      <xdr:row>6</xdr:row>
      <xdr:rowOff>365760</xdr:rowOff>
    </xdr:to>
    <xdr:pic>
      <xdr:nvPicPr>
        <xdr:cNvPr id="67" name="Picture 66" descr="https://upload.wikimedia.org/wikipedia/commons/thumb/f/fc/Flag_of_Mexico.svg/1280px-Flag_of_Mexico.svg.png">
          <a:extLst>
            <a:ext uri="{FF2B5EF4-FFF2-40B4-BE49-F238E27FC236}">
              <a16:creationId xmlns:a16="http://schemas.microsoft.com/office/drawing/2014/main" id="{E0345F5C-12E6-41D9-ACE0-9BE6E8788345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81925" y="3429000"/>
          <a:ext cx="640080" cy="365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1A309A-CA89-4171-ADBA-FC0B7DBCF896}" name="Table2" displayName="Table2" ref="A1:BD159" totalsRowShown="0">
  <autoFilter ref="A1:BD159" xr:uid="{CDE38DE5-600C-4BB8-B421-8D3636529A14}"/>
  <tableColumns count="56">
    <tableColumn id="1" xr3:uid="{D22799CD-4AE7-4D5B-A69D-15A512335C2F}" name="Compound Name_Short" dataDxfId="285"/>
    <tableColumn id="2" xr3:uid="{7ABD2D71-0A93-4CA4-9C7E-E1743E02C557}" name="Ion" dataDxfId="284"/>
    <tableColumn id="3" xr3:uid="{638F226C-97CB-4560-AFD8-9DE39D1848AC}" name="Formula" dataDxfId="283"/>
    <tableColumn id="4" xr3:uid="{3112CF36-FA4E-482A-B03B-95F463B23EDF}" name="Screened Adduct" dataDxfId="282"/>
    <tableColumn id="5" xr3:uid="{F12357BD-40A7-48B2-9588-8294BA47577D}" name="Frequency of detection" dataDxfId="281">
      <calculatedColumnFormula>COUNTIF(L2:BA2,"&gt;1")/48*100</calculatedColumnFormula>
    </tableColumn>
    <tableColumn id="6" xr3:uid="{3F1B89B0-FF09-43C0-AFF1-E2949F65A5DE}" name="Eijsden, Meuse River" dataDxfId="280"/>
    <tableColumn id="7" xr3:uid="{4E80C469-C7AA-4F84-8BAC-C407871BAB29}" name="Eijsden, Meuse River2" dataDxfId="279"/>
    <tableColumn id="8" xr3:uid="{2EDDBB99-42DD-4F7E-8D7B-9826020A5F4B}" name="Blank" dataDxfId="278"/>
    <tableColumn id="9" xr3:uid="{4BF36D69-5E2E-445D-9CB2-1B0AEA8B96F6}" name="Drinking water" dataDxfId="277"/>
    <tableColumn id="10" xr3:uid="{7E7435FB-F425-4579-B8A3-F5C6D608542E}" name="Ground Water" dataDxfId="276"/>
    <tableColumn id="11" xr3:uid="{87B7E8C7-5731-4CD6-87E9-617C8DD45DC4}" name="Surface Water" dataDxfId="275"/>
    <tableColumn id="12" xr3:uid="{3AC04C24-1950-4CDC-8ED8-7BA2A220BAD2}" name="Effluent Wastewater_Switzerland" dataDxfId="274"/>
    <tableColumn id="13" xr3:uid="{D856FA5F-F00B-43AC-9824-88D122EE5333}" name="Effluent Wastewater_Switzerland2" dataDxfId="273"/>
    <tableColumn id="14" xr3:uid="{B3EB201C-2EA7-4BB8-BE05-96C75487E274}" name="Effluent Wastewater_Switzerland3" dataDxfId="272"/>
    <tableColumn id="15" xr3:uid="{E3A55FB5-8B1E-496E-9584-0681849B35E6}" name="Effluent Wastewater_Switzerland4" dataDxfId="271"/>
    <tableColumn id="16" xr3:uid="{6887D0BC-7589-4F96-A3FE-DF9326EC02F4}" name="Effluent Wastewater_Switzerland5" dataDxfId="270"/>
    <tableColumn id="17" xr3:uid="{DCF3D231-7F75-41A1-939D-E050962C9144}" name="Effluent Wastewater_Switzerland6" dataDxfId="269"/>
    <tableColumn id="18" xr3:uid="{C408F93B-3533-4A9C-A057-6A8E9BC0CFE3}" name="Effluent Wastewater_Switzerland7" dataDxfId="268"/>
    <tableColumn id="19" xr3:uid="{CE782813-B242-4350-9511-0DEC872C1250}" name="Effluent Wastewater_Switzerland8" dataDxfId="267"/>
    <tableColumn id="20" xr3:uid="{FC293F97-A592-482B-968D-14F770FD607F}" name="Effluent Wastewater_Switzerland9" dataDxfId="266"/>
    <tableColumn id="21" xr3:uid="{3F9E7F7D-04A1-431A-A562-8E28BA25A1CC}" name="Effluent Wastewater_Switzerland10" dataDxfId="265"/>
    <tableColumn id="22" xr3:uid="{A52147FE-411F-4165-8FAC-8F1336EF8E69}" name="Effluent Wastewater_Switzerland11" dataDxfId="264"/>
    <tableColumn id="23" xr3:uid="{042A08DB-2AF3-4998-AEB5-50A846D2BEBA}" name="Rhine_Albruck" dataDxfId="263"/>
    <tableColumn id="24" xr3:uid="{E236F21A-7DEA-4290-A2C3-C7854A5E8C7A}" name="Rhine_Weil" dataDxfId="262"/>
    <tableColumn id="25" xr3:uid="{5C0724B5-30E5-4DF0-BC77-1632197367A8}" name="Blank_Rhine" dataDxfId="261"/>
    <tableColumn id="26" xr3:uid="{B8DEE4C1-61FC-43D1-A4F2-D2FECA39A56A}" name="NT_CT_Eawag" dataDxfId="260"/>
    <tableColumn id="27" xr3:uid="{1642BE5A-DE61-4770-9734-2560BACE899B}" name="Surface Water_Furtbach_Switzerland" dataDxfId="259"/>
    <tableColumn id="28" xr3:uid="{0EEF79D2-3D72-4812-9525-D51970DBDAAE}" name="Blank Water_Furtbach_Switzerland" dataDxfId="258"/>
    <tableColumn id="29" xr3:uid="{7CF66694-7EA6-4038-8F12-9078F7E1E7DB}" name="Doubs_France-Swiss Border" dataDxfId="257"/>
    <tableColumn id="30" xr3:uid="{12C67DC5-7997-427B-81D3-12BA284AF89F}" name="Blank_Doubs_France-Swiss Border" dataDxfId="256"/>
    <tableColumn id="31" xr3:uid="{533E2462-1A44-4E56-9EE4-32AA10899FD3}" name="Influent_Athens" dataDxfId="255"/>
    <tableColumn id="32" xr3:uid="{0472C861-21E5-4C1C-A30C-44A77EBDC2B6}" name="Effluent_Athens_2015" dataDxfId="254"/>
    <tableColumn id="33" xr3:uid="{922C019A-A333-46B7-8A30-7B73E4C7B033}" name="Sludge_Athens" dataDxfId="253"/>
    <tableColumn id="34" xr3:uid="{F8621F80-D7CB-4811-9651-BFAB1036DDD4}" name="Seawater_Athens (Saronikos Gulf)" dataDxfId="252"/>
    <tableColumn id="35" xr3:uid="{D779A9ED-240A-4ABD-8A66-E8C4C5B5CB56}" name="GW (Vall d'Uixo)" dataDxfId="251"/>
    <tableColumn id="36" xr3:uid="{0AF78894-240B-402F-B7E3-D6A71C30D564}" name="EWW Vall D'Uixo (only ESI POS)" dataDxfId="250"/>
    <tableColumn id="37" xr3:uid="{B92AA185-8FC7-4FE7-B4D9-DE0AF7D02745}" name="48504 (EWW QUART-BENAGER)" dataDxfId="249"/>
    <tableColumn id="38" xr3:uid="{2DA769E1-231B-4FC4-9B9C-5D89CFD90BF9}" name="Effluent_Athens_2014" dataDxfId="248"/>
    <tableColumn id="39" xr3:uid="{EE1CE054-C3DC-40F7-A7CB-35ED488E0D7F}" name="Influent_Mexico_" dataDxfId="247"/>
    <tableColumn id="40" xr3:uid="{B7CBBC27-0137-4E14-9E3C-31B84443B3EB}" name="VEAS Outlet_4" dataDxfId="246"/>
    <tableColumn id="41" xr3:uid="{7AA7381D-F356-4C5D-9AB7-4BFB8566BF8A}" name="Effluent - Finland" dataDxfId="245"/>
    <tableColumn id="42" xr3:uid="{486F1FA6-86DE-49CA-B7A1-29FC1D05FF1F}" name="Effluent - Sverige" dataDxfId="244"/>
    <tableColumn id="43" xr3:uid="{89EF61EF-14EC-46ED-AD4C-AC1B206CC457}" name="Effluent - Danmark" dataDxfId="243"/>
    <tableColumn id="44" xr3:uid="{CF213E63-B74B-444B-A8B9-3FC174102379}" name="Effluent - Island" dataDxfId="242"/>
    <tableColumn id="45" xr3:uid="{F20CB872-F5DE-4359-8C41-A3726377B93E}" name="Blank_Vecht" dataDxfId="241"/>
    <tableColumn id="46" xr3:uid="{B2ABC66E-794E-44F0-9431-8B612727F275}" name="Surface Water_Vecht" dataDxfId="240"/>
    <tableColumn id="47" xr3:uid="{7789E24C-31BD-4603-924E-F817804BA26B}" name="Blank_ljssel" dataDxfId="239"/>
    <tableColumn id="48" xr3:uid="{E8A79B25-FDD6-4376-8330-49CBEA2F1793}" name="Ground Water_Ijssel" dataDxfId="238"/>
    <tableColumn id="49" xr3:uid="{CFECE162-EEF0-4D7A-9F07-10ECE9CE8756}" name="WWTP_influent_DI" dataDxfId="237"/>
    <tableColumn id="50" xr3:uid="{4DC9D3BB-E9C6-4ECD-A964-69BD6892F541}" name="WWTP_Effluent_DI" dataDxfId="236"/>
    <tableColumn id="51" xr3:uid="{84A097AC-8C3C-4405-B01F-9F1700BE2431}" name="WWTP_influent_Concentreted" dataDxfId="235"/>
    <tableColumn id="52" xr3:uid="{BB16E7C0-067E-47C4-9D95-59C6ED28BEEE}" name="WWTP_Effluent_Concentreted" dataDxfId="234"/>
    <tableColumn id="53" xr3:uid="{39605158-286A-46A9-853F-F6DEB9A0181F}" name="River sample_Logan" dataDxfId="233"/>
    <tableColumn id="54" xr3:uid="{731FCB98-2BB7-42ED-AB96-1936503697E5}" name="NTCT_Eawag_Blank" dataDxfId="232"/>
    <tableColumn id="55" xr3:uid="{18B25054-6851-403D-A9FD-7F70E88F6E26}" name="Danube River (near Leipheim, Germany)" dataDxfId="231"/>
    <tableColumn id="56" xr3:uid="{3EE4C939-2374-4F95-A7F0-BC4D42BF3535}" name="Danube River (Norman 2015 CT)" dataDxfId="230"/>
  </tableColumns>
  <tableStyleInfo name="TableStyleLight1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D78CD-2F38-4757-B9C5-D22D158201CE}" name="Table1" displayName="Table1" ref="A1:BA159">
  <autoFilter ref="A1:BA159" xr:uid="{ADF54EF8-9E60-48F0-AADA-3AFCFC7436E3}"/>
  <tableColumns count="53">
    <tableColumn id="1" xr3:uid="{9BB39DD9-A5B1-4842-8405-0C93BF147DD2}" name="SuspectID" totalsRowLabel="Total" dataDxfId="218" totalsRowDxfId="217"/>
    <tableColumn id="2" xr3:uid="{4A2154D7-56C5-4763-8951-FEA1C492254A}" name="Compound Name_Short" dataDxfId="216" totalsRowDxfId="215"/>
    <tableColumn id="3" xr3:uid="{8992AADA-52F8-4B33-8453-98CBA4EB35F7}" name="Ion" dataDxfId="214" totalsRowDxfId="213"/>
    <tableColumn id="4" xr3:uid="{968A43BD-28FE-4792-9442-703EA78A02F4}" name="Formula" dataDxfId="212" totalsRowDxfId="211"/>
    <tableColumn id="5" xr3:uid="{FB12B55E-5550-46C3-AB64-FAA970F64480}" name="Screened Adduct" dataDxfId="210" totalsRowDxfId="209"/>
    <tableColumn id="6" xr3:uid="{76490075-6808-4887-8C3A-038D25CDCDF1}" name="Eijsden, Meuse River" dataDxfId="208" totalsRowDxfId="207"/>
    <tableColumn id="7" xr3:uid="{BBCF44BA-81CF-4602-97F9-89C9C1EBFF37}" name="Eijsden, Meuse River2" dataDxfId="206" totalsRowDxfId="205"/>
    <tableColumn id="8" xr3:uid="{58347657-9A9E-45A7-B91A-1F33727692BE}" name="Blank" dataDxfId="204" totalsRowDxfId="203"/>
    <tableColumn id="9" xr3:uid="{CBEE4BF6-29B0-44FC-BB66-91D84944781B}" name="Drinking water" dataDxfId="202" totalsRowDxfId="201"/>
    <tableColumn id="10" xr3:uid="{E8A6F5D5-F414-47C8-8329-417522F6C486}" name="Ground Water" dataDxfId="200" totalsRowDxfId="199"/>
    <tableColumn id="11" xr3:uid="{E632C32B-52B2-4396-9B3C-F207BAB5A579}" name="Surface Water" dataDxfId="198" totalsRowDxfId="197"/>
    <tableColumn id="12" xr3:uid="{85C27803-113E-4858-B8B7-B97FC21CC355}" name="Effluent Wastewater_Switzerland" dataDxfId="196" totalsRowDxfId="195"/>
    <tableColumn id="13" xr3:uid="{4055D1FA-0E10-4871-9F0D-1DED0633D408}" name="Effluent Wastewater_Switzerland3" dataDxfId="194" totalsRowDxfId="193"/>
    <tableColumn id="14" xr3:uid="{74B7AF92-B445-4865-A87A-3A045194F623}" name="Effluent Wastewater_Switzerland4" dataDxfId="192" totalsRowDxfId="191"/>
    <tableColumn id="15" xr3:uid="{36B2870A-D7D0-4582-875D-E6E3418748DA}" name="Effluent Wastewater_Switzerland5" dataDxfId="190" totalsRowDxfId="189"/>
    <tableColumn id="16" xr3:uid="{47D0D4AE-69C2-4D5D-A7FD-2F3BF2AD2AA5}" name="Effluent Wastewater_Switzerland6" dataDxfId="188" totalsRowDxfId="187"/>
    <tableColumn id="17" xr3:uid="{2DE3FA4D-8757-4BFA-875E-09DDCC54BCA3}" name="Effluent Wastewater_Switzerland7" dataDxfId="186" totalsRowDxfId="185"/>
    <tableColumn id="18" xr3:uid="{3156F5B1-EF6C-441C-8841-AD00AF31DAD6}" name="Effluent Wastewater_Switzerland8" dataDxfId="184" totalsRowDxfId="183"/>
    <tableColumn id="19" xr3:uid="{DD06BEB7-7A3E-4D00-9A66-9472943918E0}" name="Effluent Wastewater_Switzerland9" dataDxfId="182" totalsRowDxfId="181"/>
    <tableColumn id="20" xr3:uid="{2207C7FD-29E7-4CEB-B72B-B72B10A009D8}" name="Effluent Wastewater_Switzerland10" dataDxfId="180" totalsRowDxfId="179"/>
    <tableColumn id="21" xr3:uid="{AC24A8F0-7D1B-40CF-88BB-E268AAD6ADCE}" name="Effluent Wastewater_Switzerland11" dataDxfId="178" totalsRowDxfId="177"/>
    <tableColumn id="22" xr3:uid="{4545D1B8-8704-4DE5-8558-D96F00458969}" name="Effluent Wastewater_Switzerland12" dataDxfId="176" totalsRowDxfId="175"/>
    <tableColumn id="23" xr3:uid="{9782AC04-0D83-45FA-846E-8206B3D9EBF2}" name="Rhine_Albruck" dataDxfId="174" totalsRowDxfId="173"/>
    <tableColumn id="24" xr3:uid="{1569E5D4-FC6C-4E69-881B-568B32DC9D9E}" name="Rhine_Weil" dataDxfId="172" totalsRowDxfId="171"/>
    <tableColumn id="25" xr3:uid="{686348E7-8092-4F0B-A57F-24569AFBA038}" name="Blank_Rhine" dataDxfId="170" totalsRowDxfId="169"/>
    <tableColumn id="26" xr3:uid="{26D62462-4F84-44D6-96BF-4DD748FF2224}" name="NT_CT_Eawag" dataDxfId="168" totalsRowDxfId="167"/>
    <tableColumn id="27" xr3:uid="{FEB72FCB-15E4-427D-A6F7-E876DEAF3C37}" name="Surface Water_Furtbach_Switzerland" dataDxfId="166" totalsRowDxfId="165"/>
    <tableColumn id="28" xr3:uid="{3E3F8308-46D5-484F-ABEF-A4EA47D99DF0}" name="Blank Water_Furtbach_Switzerland" dataDxfId="164" totalsRowDxfId="163"/>
    <tableColumn id="29" xr3:uid="{BCC3C437-6A5A-46E2-8E2A-AEF132B122EE}" name="Doubs_France-Swiss Border" dataDxfId="162" totalsRowDxfId="161"/>
    <tableColumn id="30" xr3:uid="{72C2B1B6-CFCF-430F-80CE-34446C9006B7}" name="Blank_Doubs_France-Swiss Border" dataDxfId="160" totalsRowDxfId="159"/>
    <tableColumn id="31" xr3:uid="{0891E1EF-F32F-4529-9A2D-DF095246A67C}" name="Influent_Athens" dataDxfId="158" totalsRowDxfId="157"/>
    <tableColumn id="32" xr3:uid="{E5A4843D-89C3-4D19-BD72-1D64D17ABBE5}" name="Effluent_Athens_2015" dataDxfId="156" totalsRowDxfId="155"/>
    <tableColumn id="33" xr3:uid="{F515F86E-F483-4452-B93C-B07463CCDA0C}" name="Sludge_Athens" dataDxfId="154" totalsRowDxfId="153"/>
    <tableColumn id="34" xr3:uid="{309FDF0A-A659-4443-9B29-DCD6E90BBD04}" name="Seawater_Athens (Saronikos Gulf)" dataDxfId="152" totalsRowDxfId="151"/>
    <tableColumn id="35" xr3:uid="{BCAD6CBA-F7DE-4CAC-8812-5250CE033AD1}" name="GW (Vall d'Uixo)" dataDxfId="150" totalsRowDxfId="149"/>
    <tableColumn id="36" xr3:uid="{5D30484B-AF6C-4847-BD86-0C9949BFD51C}" name="EWW Vall D'Uixo (only ESI POS)" dataDxfId="148" totalsRowDxfId="147"/>
    <tableColumn id="37" xr3:uid="{DEAF0B1C-C1C4-4501-B53D-AEAF54E3D7B0}" name="48504 (EWW QUART-BENAGER)" dataDxfId="146" totalsRowDxfId="145"/>
    <tableColumn id="38" xr3:uid="{EB0A557C-0113-4F95-A7FE-A0A10E8C78D4}" name="Effluent_Athens_2014" dataDxfId="144" totalsRowDxfId="143"/>
    <tableColumn id="39" xr3:uid="{B1A2C164-01F8-4DE7-97A4-FE3F688FEE06}" name="Influent_Mexico_" dataDxfId="142" totalsRowDxfId="141"/>
    <tableColumn id="40" xr3:uid="{919DDCA2-51C3-4F2D-B027-0C8EA9D63E34}" name="VEAS Outlet_4" dataDxfId="140" totalsRowDxfId="139"/>
    <tableColumn id="41" xr3:uid="{5282683A-EF7F-4E72-BC56-28194EEB82CB}" name="Effluent - Finland" dataDxfId="138" totalsRowDxfId="137"/>
    <tableColumn id="42" xr3:uid="{E05FB9F1-8ABA-4298-8F40-00D7E1D0FFC7}" name="Effluent - Sverige" dataDxfId="136" totalsRowDxfId="135"/>
    <tableColumn id="43" xr3:uid="{C2580214-D316-428E-B0F8-3A0BB00387CE}" name="Effluent - Danmark" dataDxfId="134" totalsRowDxfId="133"/>
    <tableColumn id="44" xr3:uid="{859CC661-46A7-42E9-B0CB-CB9E601470FC}" name="Effluent - Island" dataDxfId="132" totalsRowDxfId="131"/>
    <tableColumn id="45" xr3:uid="{0CF64961-14D6-4187-B71F-FBFD19A5A2A0}" name="Blank_Vecht" dataDxfId="130" totalsRowDxfId="129"/>
    <tableColumn id="46" xr3:uid="{3AE14F5E-FC63-457C-B5F7-F14EEC036AB6}" name="Surface Water_Vecht" dataDxfId="128" totalsRowDxfId="127"/>
    <tableColumn id="47" xr3:uid="{50D33228-B16B-4D33-862E-BE4675724E26}" name="Blank_ljssel" dataDxfId="126" totalsRowDxfId="125"/>
    <tableColumn id="48" xr3:uid="{4D5204D0-A003-45FE-955A-DFAA6C432AEC}" name="Ground Water_Ijssel" dataDxfId="124" totalsRowDxfId="123"/>
    <tableColumn id="49" xr3:uid="{33BFB98B-1948-4BD6-B5FB-9D3FC7BBEB3C}" name="WWTP_influent_DI" dataDxfId="122" totalsRowDxfId="121"/>
    <tableColumn id="50" xr3:uid="{9DB2A598-F351-4525-BB39-58F80E373A55}" name="WWTP_Effluent_DI" dataDxfId="120" totalsRowDxfId="119"/>
    <tableColumn id="51" xr3:uid="{EE8B2277-2322-4066-AAB3-3A9F3402E300}" name="WWTP_influent_Concentreted" dataDxfId="118" totalsRowDxfId="117"/>
    <tableColumn id="52" xr3:uid="{5CB422EA-CABE-4AA5-8019-74FB71AAA71E}" name="WWTP_Effluent_Concentreted" dataDxfId="116" totalsRowDxfId="115"/>
    <tableColumn id="53" xr3:uid="{87D45669-AFBB-4A34-BA3F-E9B528372644}" name="River sample_Logan" totalsRowFunction="count" dataDxfId="114" totalsRowDxfId="113"/>
  </tableColumns>
  <tableStyleInfo name="TableStyleLight1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41C9F8-F095-4393-B08C-4313E7D06F95}" name="Table3" displayName="Table3" ref="A1:BA159" totalsRowShown="0">
  <autoFilter ref="A1:BA159" xr:uid="{E24EEEAA-A7F3-418F-9520-D1E1CDB5D872}"/>
  <tableColumns count="53">
    <tableColumn id="1" xr3:uid="{368DDF97-7660-4A90-88C3-88B88EAE2B3C}" name="SuspectID" dataDxfId="111"/>
    <tableColumn id="2" xr3:uid="{0640EAE3-B8F1-414E-98A0-ED54504BE1C3}" name="Compound Name_Short" dataDxfId="110"/>
    <tableColumn id="3" xr3:uid="{3440193F-2A00-4C20-AF84-D30E6D8DF49D}" name="Ion" dataDxfId="109"/>
    <tableColumn id="4" xr3:uid="{F0B68E14-E6B0-4B8B-B9DE-5D12A9889A5D}" name="Formula" dataDxfId="108"/>
    <tableColumn id="5" xr3:uid="{F5FAD2B8-9F05-4194-B2C6-AF8176035D83}" name="Screened Adduct" dataDxfId="107"/>
    <tableColumn id="6" xr3:uid="{47B8282F-512A-4088-8D40-F16B10F357C0}" name="Eijsden, Meuse River" dataDxfId="106"/>
    <tableColumn id="7" xr3:uid="{EDED49E5-1D15-49FB-831D-37B0091C01FF}" name="Eijsden, Meuse River2" dataDxfId="105"/>
    <tableColumn id="8" xr3:uid="{2F694450-D60D-4F6F-A4C3-1B1CFC7A63BF}" name="Blank" dataDxfId="104"/>
    <tableColumn id="9" xr3:uid="{0F541D3D-2EFC-43B9-9DB9-D30FD341ECDE}" name="Drinking water" dataDxfId="103"/>
    <tableColumn id="10" xr3:uid="{DF1134BC-7A3E-4E6C-B76B-5D147E8096B9}" name="Ground Water" dataDxfId="102"/>
    <tableColumn id="11" xr3:uid="{DF4FFCC4-B5BC-4B6D-A3DF-48C3164DF2BA}" name="Surface Water" dataDxfId="101"/>
    <tableColumn id="12" xr3:uid="{65101566-760F-4CE9-B7C6-8ADBDD08174A}" name="Effluent Wastewater_Switzerland" dataDxfId="100"/>
    <tableColumn id="13" xr3:uid="{DD8765D3-CADA-4075-A328-DA0EBF90F2CB}" name="Effluent Wastewater_Switzerland3" dataDxfId="99"/>
    <tableColumn id="14" xr3:uid="{2F78B7D3-5A05-487F-BB84-50DA593727AF}" name="Effluent Wastewater_Switzerland4" dataDxfId="98"/>
    <tableColumn id="15" xr3:uid="{0863C61E-CE6D-450C-ABCF-FA1CED836ED9}" name="Effluent Wastewater_Switzerland5" dataDxfId="97"/>
    <tableColumn id="16" xr3:uid="{85977D7F-063C-4059-A39A-0AB4C23854C6}" name="Effluent Wastewater_Switzerland6" dataDxfId="96"/>
    <tableColumn id="17" xr3:uid="{2559506F-DB96-4309-AF40-C9818F97315C}" name="Effluent Wastewater_Switzerland7" dataDxfId="95"/>
    <tableColumn id="18" xr3:uid="{DC7C551C-D3FC-4F82-A469-3D3013B60320}" name="Effluent Wastewater_Switzerland8" dataDxfId="94"/>
    <tableColumn id="19" xr3:uid="{C7AAEB9A-37CF-4FC8-94CD-92DFDF4326E8}" name="Effluent Wastewater_Switzerland9" dataDxfId="93"/>
    <tableColumn id="20" xr3:uid="{47FDB32C-55F8-4844-968D-05D6ABA5BBD9}" name="Effluent Wastewater_Switzerland10" dataDxfId="92"/>
    <tableColumn id="21" xr3:uid="{CAA9D78E-9B43-4723-AD6A-DD1DE88C75A5}" name="Effluent Wastewater_Switzerland11" dataDxfId="91"/>
    <tableColumn id="22" xr3:uid="{491F4140-3047-4A97-BADE-F0B85445F422}" name="Effluent Wastewater_Switzerland12" dataDxfId="90"/>
    <tableColumn id="23" xr3:uid="{12EA03A6-50B9-4728-BC2A-598ACF2E3569}" name="Rhine_Albruck" dataDxfId="89"/>
    <tableColumn id="24" xr3:uid="{8F4B4E82-65AE-417B-A30D-BE31AD1B6BDD}" name="Rhine_Weil" dataDxfId="88"/>
    <tableColumn id="25" xr3:uid="{BAF0F788-2C17-4841-888D-6FDE60AF2F96}" name="Blank_Rhine" dataDxfId="87"/>
    <tableColumn id="26" xr3:uid="{21154DDD-F86B-4A3E-A834-B31BC02B0401}" name="NT_CT_Eawag" dataDxfId="86"/>
    <tableColumn id="27" xr3:uid="{11582314-0EFD-4EFE-B0DB-0B1655A8C9AC}" name="Surface Water_Furtbach_Switzerland" dataDxfId="85"/>
    <tableColumn id="28" xr3:uid="{F59C632B-2F4B-4CAE-AD70-B5372AF966C4}" name="Blank Water_Furtbach_Switzerland" dataDxfId="84"/>
    <tableColumn id="29" xr3:uid="{71B8EF81-FC0E-4DCB-9577-AF05DC314C72}" name="Doubs_France-Swiss Border" dataDxfId="83"/>
    <tableColumn id="30" xr3:uid="{EFFC07D3-6753-450A-8D81-E4277C605F1A}" name="Blank_Doubs_France-Swiss Border" dataDxfId="82"/>
    <tableColumn id="31" xr3:uid="{C05A4ED0-9097-40FC-80D9-4ED78C344227}" name="Influent_Athens" dataDxfId="81"/>
    <tableColumn id="32" xr3:uid="{82BF4602-71AB-40F9-AA40-4B0BC269D068}" name="Effluent_Athens_2015" dataDxfId="80"/>
    <tableColumn id="33" xr3:uid="{3D94014D-5659-4F34-9417-B65D16CAA8FE}" name="Sludge_Athens" dataDxfId="79"/>
    <tableColumn id="34" xr3:uid="{4366A597-1741-45D6-8981-70ABA6725220}" name="Seawater_Athens (Saronikos Gulf)" dataDxfId="78"/>
    <tableColumn id="35" xr3:uid="{05CA2CAA-D83C-45BE-BF8A-40E74BF650D6}" name="GW (Vall d'Uixo)" dataDxfId="77"/>
    <tableColumn id="36" xr3:uid="{DDAC2AAA-6F44-4247-8C77-6D2693DC5C04}" name="EWW Vall D'Uixo (only ESI POS)" dataDxfId="76"/>
    <tableColumn id="37" xr3:uid="{1E4E29D7-91BC-41BD-84D7-42772CEB247E}" name="48504 (EWW QUART-BENAGER)" dataDxfId="75"/>
    <tableColumn id="38" xr3:uid="{59FF5323-E440-4328-A29A-8EF272995C58}" name="Effluent_Athens_2014" dataDxfId="74"/>
    <tableColumn id="39" xr3:uid="{FB70BBA6-9D99-482E-8C01-4C8BACB3BCED}" name="Influent_Mexico_" dataDxfId="73"/>
    <tableColumn id="40" xr3:uid="{3A068C3E-5A70-4F84-8368-87B28CCE39B4}" name="VEAS Outlet_4" dataDxfId="72"/>
    <tableColumn id="41" xr3:uid="{93585795-AD09-4EFC-AC6F-D7DE2504CAB0}" name="Effluent - Finland" dataDxfId="71"/>
    <tableColumn id="42" xr3:uid="{2F22A004-6794-4AC0-BCC7-AA435C169982}" name="Effluent - Sverige" dataDxfId="70"/>
    <tableColumn id="43" xr3:uid="{4613215E-C1A2-418A-9C19-338B76AAC177}" name="Effluent - Danmark" dataDxfId="69"/>
    <tableColumn id="44" xr3:uid="{785AE805-C620-4673-A950-789C7F102F0A}" name="Effluent - Island" dataDxfId="68"/>
    <tableColumn id="45" xr3:uid="{739E940C-0867-4F76-B097-E6D784C55F6B}" name="Blank_Vecht" dataDxfId="67"/>
    <tableColumn id="46" xr3:uid="{40C7D7B3-1677-4A06-87D1-FFCF25C01859}" name="Surface Water_Vecht" dataDxfId="66"/>
    <tableColumn id="47" xr3:uid="{FBD24414-661C-40D7-9B47-B8E4A2016FCE}" name="Blank_ljssel" dataDxfId="65"/>
    <tableColumn id="48" xr3:uid="{D1DD79CE-92AA-4BB4-9180-FB11BEEE88D4}" name="Ground Water_Ijssel" dataDxfId="64"/>
    <tableColumn id="49" xr3:uid="{50919924-7E89-4879-BE98-A2E9C36B813D}" name="WWTP_influent_DI" dataDxfId="63"/>
    <tableColumn id="50" xr3:uid="{45CC945D-F5B7-4E4B-8E40-F8FDB0E7B3AA}" name="WWTP_Effluent_DI" dataDxfId="62"/>
    <tableColumn id="51" xr3:uid="{0C912BE9-5726-435A-A9F1-C988F5946B7F}" name="WWTP_influent_Concentreted" dataDxfId="61"/>
    <tableColumn id="52" xr3:uid="{1D482B5E-8890-4A37-9D1E-52894CB669A1}" name="WWTP_Effluent_Concentreted" dataDxfId="60"/>
    <tableColumn id="53" xr3:uid="{F2FE1E3E-A4F6-4CA5-86F1-1E3F395B0A8B}" name="River sample_Logan" dataDxfId="59"/>
  </tableColumns>
  <tableStyleInfo name="TableStyleLight1"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6602D1-1692-4718-A1C9-5C1787481CD4}" name="Table4" displayName="Table4" ref="A1:BA160" totalsRowShown="0">
  <autoFilter ref="A1:BA160" xr:uid="{88359B7B-4F22-4FEF-940A-8822C772A4C3}"/>
  <tableColumns count="53">
    <tableColumn id="1" xr3:uid="{0EA8D937-2628-49FA-846C-AF104036FF95}" name="SuspectID" dataDxfId="52"/>
    <tableColumn id="2" xr3:uid="{92BB5147-6823-417A-947E-5B9E02240F5D}" name="Compound Name_Short" dataDxfId="51"/>
    <tableColumn id="3" xr3:uid="{F19A7E88-708C-4F03-99BB-40AD81EE2053}" name="Ion" dataDxfId="50"/>
    <tableColumn id="4" xr3:uid="{94AD9E4A-CC69-44FA-869B-99F4802028FD}" name="Formula" dataDxfId="49"/>
    <tableColumn id="5" xr3:uid="{B8EF3313-E749-4164-90A4-B0ED1C5ECA83}" name="Screened Adduct" dataDxfId="48"/>
    <tableColumn id="6" xr3:uid="{236EA26A-2570-40D9-9762-AF29D2F0B8CB}" name="Eijsden, Meuse River" dataDxfId="47"/>
    <tableColumn id="7" xr3:uid="{F897F9AD-9950-4613-91F5-271DEE4930AA}" name="Eijsden, Meuse River2" dataDxfId="46"/>
    <tableColumn id="8" xr3:uid="{E06A25E6-8BDE-40B8-84B9-47635534DC40}" name="Blank" dataDxfId="45"/>
    <tableColumn id="9" xr3:uid="{DF27D31D-4A19-49D8-A426-D70D44E92098}" name="Drinking water" dataDxfId="44"/>
    <tableColumn id="10" xr3:uid="{D14ED1B0-769C-414B-A727-2167993C028A}" name="Ground Water" dataDxfId="43"/>
    <tableColumn id="11" xr3:uid="{F685FFB6-E2CC-4B56-9847-5EEC9F672FD2}" name="Surface Water" dataDxfId="42"/>
    <tableColumn id="12" xr3:uid="{6C634549-83C5-4C1F-BAD0-F1F544BC5DE4}" name="Effluent Wastewater_Switzerland" dataDxfId="41"/>
    <tableColumn id="13" xr3:uid="{494D70D6-C15F-42C2-9299-459511C752E7}" name="Effluent Wastewater_Switzerland3" dataDxfId="40"/>
    <tableColumn id="14" xr3:uid="{C0BEEC30-5099-4A60-A9C1-8117D91C37B8}" name="Effluent Wastewater_Switzerland4" dataDxfId="39"/>
    <tableColumn id="15" xr3:uid="{54C7E763-8FE7-415E-8AE2-71227CF5B8F4}" name="Effluent Wastewater_Switzerland5" dataDxfId="38"/>
    <tableColumn id="16" xr3:uid="{E68A15F1-E4AF-45EE-BF14-D027A04696B4}" name="Effluent Wastewater_Switzerland6" dataDxfId="37"/>
    <tableColumn id="17" xr3:uid="{AC28C7AE-63DF-4FB3-A77E-5BA3C70EB4AE}" name="Effluent Wastewater_Switzerland7" dataDxfId="36"/>
    <tableColumn id="18" xr3:uid="{647E78C9-D059-4C4C-A7B9-F186356E7222}" name="Effluent Wastewater_Switzerland8" dataDxfId="35"/>
    <tableColumn id="19" xr3:uid="{CE378B96-7435-4870-9481-CAC631234B91}" name="Effluent Wastewater_Switzerland9" dataDxfId="34"/>
    <tableColumn id="20" xr3:uid="{403580E8-8A6F-4FB1-8CFB-94FBF426FEB6}" name="Effluent Wastewater_Switzerland10" dataDxfId="33"/>
    <tableColumn id="21" xr3:uid="{CCA01CB5-DBBA-4990-B7F6-3C112BD1306D}" name="Effluent Wastewater_Switzerland11" dataDxfId="32"/>
    <tableColumn id="22" xr3:uid="{FF467895-CF2A-4F0B-BE93-8F63F273C36F}" name="Effluent Wastewater_Switzerland12" dataDxfId="31"/>
    <tableColumn id="23" xr3:uid="{30D25D22-5D15-4CAE-B469-7EDDF36E6D97}" name="Rhine_Albruck" dataDxfId="30"/>
    <tableColumn id="24" xr3:uid="{47B63FE3-8968-4261-9FC6-C213DF9D15EA}" name="Rhine_Weil" dataDxfId="29"/>
    <tableColumn id="25" xr3:uid="{4516E5D4-3DA7-4AA7-8288-42E990916407}" name="Blank_Rhine" dataDxfId="28"/>
    <tableColumn id="26" xr3:uid="{76BFF72F-4A83-488F-B8C4-1B672854BEA7}" name="NT_CT_Eawag" dataDxfId="27"/>
    <tableColumn id="27" xr3:uid="{E27305C9-3431-4EA4-AEC0-516945661735}" name="Surface Water_Furtbach_Switzerland" dataDxfId="26"/>
    <tableColumn id="28" xr3:uid="{110A1DD2-2CDB-4297-AFE2-D375D5B43B71}" name="Blank Water_Furtbach_Switzerland" dataDxfId="25"/>
    <tableColumn id="29" xr3:uid="{1476DA09-BC60-49FA-AF92-71599342073A}" name="Doubs_France-Swiss Border" dataDxfId="24"/>
    <tableColumn id="30" xr3:uid="{8919031A-AEF1-4949-94A1-792EA6A899F1}" name="Blank_Doubs_France-Swiss Border" dataDxfId="23"/>
    <tableColumn id="31" xr3:uid="{3006047C-ACA1-417F-A3DF-AB74CEDE2657}" name="Influent_Athens" dataDxfId="22"/>
    <tableColumn id="32" xr3:uid="{EB70A8C1-DB0F-4B9D-8268-0F33B156B153}" name="Effluent_Athens_2015" dataDxfId="21"/>
    <tableColumn id="33" xr3:uid="{5C1D7E09-5DD3-4C01-BE5F-1CA137FEB381}" name="Sludge_Athens" dataDxfId="20"/>
    <tableColumn id="34" xr3:uid="{E882E239-38E7-4FA0-A224-2E2510865552}" name="Seawater_Athens (Saronikos Gulf)" dataDxfId="19"/>
    <tableColumn id="35" xr3:uid="{29DE301C-DAA1-4716-908B-B992E4F28C40}" name="GW (Vall d'Uixo)" dataDxfId="18"/>
    <tableColumn id="36" xr3:uid="{FA26114F-6D3E-4668-A5D4-041B986850E0}" name="EWW Vall D'Uixo (only ESI POS)" dataDxfId="17"/>
    <tableColumn id="37" xr3:uid="{DAD309E4-A650-49DB-87EA-98AA739C9A49}" name="48504 (EWW QUART-BENAGER)" dataDxfId="16"/>
    <tableColumn id="38" xr3:uid="{BB47AB9F-F0A2-49C8-B57A-CD2F3D2F1A93}" name="Effluent_Athens_2014" dataDxfId="15"/>
    <tableColumn id="39" xr3:uid="{0AE0002A-DD96-45CF-BA50-1DA67A579840}" name="Influent_Mexico_" dataDxfId="14"/>
    <tableColumn id="40" xr3:uid="{0DD24CC7-522A-4532-8F69-466BB9A1503C}" name="VEAS Outlet_4" dataDxfId="13"/>
    <tableColumn id="41" xr3:uid="{EF9D006B-4169-4267-A4A5-D446F18C602B}" name="Effluent - Finland" dataDxfId="12"/>
    <tableColumn id="42" xr3:uid="{0D3CCA5F-7A24-4B75-B780-786C2B2E8D82}" name="Effluent - Sverige" dataDxfId="11"/>
    <tableColumn id="43" xr3:uid="{B752AD3F-7176-4238-AEB3-B0A4FE46AF3A}" name="Effluent - Danmark" dataDxfId="10"/>
    <tableColumn id="44" xr3:uid="{F9B6D735-0D09-4020-935D-76182AD7FF1E}" name="Effluent - Island" dataDxfId="9"/>
    <tableColumn id="45" xr3:uid="{B53A09EB-C12C-4E79-ACA5-B845B6632AD2}" name="Blank_Vecht" dataDxfId="8"/>
    <tableColumn id="46" xr3:uid="{1F6FF1AA-B9FC-4E13-AC20-C255D5EDAF97}" name="Surface Water_Vecht" dataDxfId="7"/>
    <tableColumn id="47" xr3:uid="{7359CF19-4B91-49DB-A1B0-612AA89C97F0}" name="Blank_ljssel" dataDxfId="6"/>
    <tableColumn id="48" xr3:uid="{E752D8B8-55E7-46EC-9C55-F23DE88799C6}" name="Ground Water_Ijssel" dataDxfId="5"/>
    <tableColumn id="49" xr3:uid="{6B351D1A-0265-426A-A49C-7C9A345E6A4E}" name="WWTP_influent_DI" dataDxfId="4"/>
    <tableColumn id="50" xr3:uid="{4EC6191A-6706-40DD-8609-FE696BC285C5}" name="WWTP_Effluent_DI" dataDxfId="3"/>
    <tableColumn id="51" xr3:uid="{A9B6A218-E83B-430C-8C60-BCACC08F7511}" name="WWTP_influent_Concentreted" dataDxfId="2"/>
    <tableColumn id="52" xr3:uid="{5FA0BEFF-F857-4CCE-81B0-04FE0FFE9FF8}" name="WWTP_Effluent_Concentreted" dataDxfId="1"/>
    <tableColumn id="53" xr3:uid="{0BAB2A9E-9606-44F0-8730-1F182AD6D70C}" name="River sample_Logan" dataDxfId="0"/>
  </tableColumns>
  <tableStyleInfo name="TableStyleLight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6"/>
  <sheetViews>
    <sheetView tabSelected="1" workbookViewId="0"/>
  </sheetViews>
  <sheetFormatPr baseColWidth="10" defaultColWidth="9.140625" defaultRowHeight="15" x14ac:dyDescent="0.25"/>
  <cols>
    <col min="1" max="1" width="18.140625" style="70" customWidth="1"/>
    <col min="2" max="7" width="24.85546875" style="70" customWidth="1"/>
    <col min="8" max="8" width="23.7109375" style="70" customWidth="1"/>
    <col min="9" max="35" width="24.85546875" style="70" customWidth="1"/>
    <col min="36" max="40" width="19.28515625" style="70" customWidth="1"/>
    <col min="41" max="44" width="24.85546875" style="70" customWidth="1"/>
    <col min="45" max="45" width="25.42578125" style="71" customWidth="1"/>
    <col min="46" max="46" width="26.42578125" style="71" customWidth="1"/>
    <col min="47" max="47" width="21.85546875" style="71" customWidth="1"/>
    <col min="48" max="48" width="27.28515625" style="71" customWidth="1"/>
    <col min="49" max="49" width="25.28515625" style="71" customWidth="1"/>
    <col min="50" max="16384" width="9.140625" style="70"/>
  </cols>
  <sheetData>
    <row r="1" spans="1:49" x14ac:dyDescent="0.25">
      <c r="A1" s="74" t="s">
        <v>657</v>
      </c>
      <c r="B1" s="70">
        <v>1</v>
      </c>
      <c r="C1" s="70">
        <v>2</v>
      </c>
      <c r="D1" s="70">
        <v>3</v>
      </c>
      <c r="E1" s="70">
        <v>4</v>
      </c>
      <c r="F1" s="70">
        <v>5</v>
      </c>
      <c r="G1" s="70">
        <v>6</v>
      </c>
      <c r="H1" s="70">
        <v>7</v>
      </c>
      <c r="I1" s="70">
        <v>8</v>
      </c>
      <c r="J1" s="70">
        <v>9</v>
      </c>
      <c r="K1" s="70">
        <v>10</v>
      </c>
      <c r="L1" s="70">
        <v>11</v>
      </c>
      <c r="M1" s="70">
        <v>12</v>
      </c>
      <c r="N1" s="70">
        <v>13</v>
      </c>
      <c r="O1" s="70">
        <v>14</v>
      </c>
      <c r="P1" s="70">
        <v>15</v>
      </c>
      <c r="Q1" s="70">
        <v>16</v>
      </c>
      <c r="R1" s="70">
        <v>17</v>
      </c>
      <c r="S1" s="70">
        <v>18</v>
      </c>
      <c r="T1" s="70">
        <v>19</v>
      </c>
      <c r="U1" s="70">
        <v>20</v>
      </c>
      <c r="V1" s="70">
        <v>21</v>
      </c>
      <c r="W1" s="70">
        <v>22</v>
      </c>
      <c r="X1" s="70">
        <v>23</v>
      </c>
      <c r="Y1" s="70">
        <v>24</v>
      </c>
      <c r="Z1" s="70">
        <v>25</v>
      </c>
      <c r="AA1" s="70">
        <v>26</v>
      </c>
      <c r="AB1" s="70">
        <v>27</v>
      </c>
      <c r="AC1" s="70">
        <v>28</v>
      </c>
      <c r="AD1" s="70">
        <v>29</v>
      </c>
      <c r="AE1" s="70">
        <v>30</v>
      </c>
      <c r="AF1" s="70">
        <v>31</v>
      </c>
      <c r="AG1" s="70">
        <v>32</v>
      </c>
      <c r="AH1" s="70">
        <v>33</v>
      </c>
      <c r="AI1" s="70">
        <v>34</v>
      </c>
      <c r="AJ1" s="70">
        <v>35</v>
      </c>
      <c r="AK1" s="70">
        <v>36</v>
      </c>
      <c r="AL1" s="70">
        <v>37</v>
      </c>
      <c r="AM1" s="70">
        <v>38</v>
      </c>
      <c r="AN1" s="70">
        <v>39</v>
      </c>
      <c r="AO1" s="70">
        <v>40</v>
      </c>
      <c r="AP1" s="70">
        <v>41</v>
      </c>
      <c r="AQ1" s="70">
        <v>42</v>
      </c>
      <c r="AR1" s="70">
        <v>43</v>
      </c>
      <c r="AS1" s="70">
        <v>44</v>
      </c>
      <c r="AT1" s="70">
        <v>45</v>
      </c>
      <c r="AU1" s="70">
        <v>46</v>
      </c>
      <c r="AV1" s="70">
        <v>47</v>
      </c>
      <c r="AW1" s="70">
        <v>48</v>
      </c>
    </row>
    <row r="2" spans="1:49" s="31" customFormat="1" ht="30" x14ac:dyDescent="0.25">
      <c r="A2" s="49" t="s">
        <v>612</v>
      </c>
      <c r="B2" s="31" t="s">
        <v>660</v>
      </c>
      <c r="C2" s="31" t="s">
        <v>661</v>
      </c>
      <c r="D2" s="31" t="s">
        <v>643</v>
      </c>
      <c r="E2" s="31" t="s">
        <v>280</v>
      </c>
      <c r="F2" s="31" t="s">
        <v>644</v>
      </c>
      <c r="G2" s="31" t="s">
        <v>645</v>
      </c>
      <c r="H2" s="31" t="s">
        <v>615</v>
      </c>
      <c r="I2" s="31" t="s">
        <v>616</v>
      </c>
      <c r="J2" s="31" t="s">
        <v>617</v>
      </c>
      <c r="K2" s="31" t="s">
        <v>618</v>
      </c>
      <c r="L2" s="31" t="s">
        <v>619</v>
      </c>
      <c r="M2" s="31" t="s">
        <v>620</v>
      </c>
      <c r="N2" s="31" t="s">
        <v>621</v>
      </c>
      <c r="O2" s="31" t="s">
        <v>622</v>
      </c>
      <c r="P2" s="31" t="s">
        <v>623</v>
      </c>
      <c r="Q2" s="31" t="s">
        <v>624</v>
      </c>
      <c r="R2" s="31" t="s">
        <v>625</v>
      </c>
      <c r="S2" s="31" t="s">
        <v>631</v>
      </c>
      <c r="T2" s="31" t="s">
        <v>632</v>
      </c>
      <c r="U2" s="31" t="s">
        <v>633</v>
      </c>
      <c r="V2" s="31" t="s">
        <v>626</v>
      </c>
      <c r="W2" s="31" t="s">
        <v>627</v>
      </c>
      <c r="X2" s="31" t="s">
        <v>628</v>
      </c>
      <c r="Y2" s="31" t="s">
        <v>629</v>
      </c>
      <c r="Z2" s="31" t="s">
        <v>630</v>
      </c>
      <c r="AA2" s="31" t="s">
        <v>634</v>
      </c>
      <c r="AB2" s="31" t="s">
        <v>635</v>
      </c>
      <c r="AC2" s="31" t="s">
        <v>636</v>
      </c>
      <c r="AD2" s="31" t="s">
        <v>637</v>
      </c>
      <c r="AE2" s="31" t="s">
        <v>638</v>
      </c>
      <c r="AF2" s="31" t="s">
        <v>639</v>
      </c>
      <c r="AG2" s="31" t="s">
        <v>640</v>
      </c>
      <c r="AH2" s="31" t="s">
        <v>641</v>
      </c>
      <c r="AI2" s="31" t="s">
        <v>642</v>
      </c>
      <c r="AJ2" s="31" t="s">
        <v>652</v>
      </c>
      <c r="AK2" s="31" t="s">
        <v>653</v>
      </c>
      <c r="AL2" s="70" t="s">
        <v>654</v>
      </c>
      <c r="AM2" s="70" t="s">
        <v>655</v>
      </c>
      <c r="AN2" s="70" t="s">
        <v>656</v>
      </c>
      <c r="AO2" s="31" t="s">
        <v>646</v>
      </c>
      <c r="AP2" s="31" t="s">
        <v>381</v>
      </c>
      <c r="AQ2" s="31" t="s">
        <v>647</v>
      </c>
      <c r="AR2" s="31" t="s">
        <v>648</v>
      </c>
      <c r="AS2" s="31" t="s">
        <v>649</v>
      </c>
      <c r="AT2" s="31" t="s">
        <v>650</v>
      </c>
      <c r="AU2" s="31" t="s">
        <v>658</v>
      </c>
      <c r="AV2" s="31" t="s">
        <v>659</v>
      </c>
      <c r="AW2" s="31" t="s">
        <v>651</v>
      </c>
    </row>
    <row r="3" spans="1:49" s="31" customFormat="1" ht="30" x14ac:dyDescent="0.25">
      <c r="A3" s="49" t="s">
        <v>669</v>
      </c>
      <c r="B3" s="31" t="s">
        <v>665</v>
      </c>
      <c r="C3" s="31" t="s">
        <v>665</v>
      </c>
      <c r="D3" s="31" t="s">
        <v>665</v>
      </c>
      <c r="E3" s="72" t="s">
        <v>666</v>
      </c>
      <c r="F3" s="72" t="s">
        <v>666</v>
      </c>
      <c r="G3" s="72" t="s">
        <v>666</v>
      </c>
      <c r="H3" s="31" t="s">
        <v>662</v>
      </c>
      <c r="I3" s="31" t="s">
        <v>662</v>
      </c>
      <c r="J3" s="31" t="s">
        <v>662</v>
      </c>
      <c r="K3" s="31" t="s">
        <v>662</v>
      </c>
      <c r="L3" s="31" t="s">
        <v>662</v>
      </c>
      <c r="M3" s="31" t="s">
        <v>662</v>
      </c>
      <c r="N3" s="31" t="s">
        <v>662</v>
      </c>
      <c r="O3" s="31" t="s">
        <v>662</v>
      </c>
      <c r="P3" s="31" t="s">
        <v>662</v>
      </c>
      <c r="Q3" s="31" t="s">
        <v>662</v>
      </c>
      <c r="R3" s="31" t="s">
        <v>662</v>
      </c>
      <c r="S3" s="31" t="s">
        <v>662</v>
      </c>
      <c r="T3" s="31" t="s">
        <v>662</v>
      </c>
      <c r="U3" s="31" t="s">
        <v>662</v>
      </c>
      <c r="V3" s="31" t="s">
        <v>662</v>
      </c>
      <c r="W3" s="31" t="s">
        <v>662</v>
      </c>
      <c r="X3" s="31" t="s">
        <v>662</v>
      </c>
      <c r="Y3" s="31" t="s">
        <v>662</v>
      </c>
      <c r="Z3" s="31" t="s">
        <v>662</v>
      </c>
      <c r="AA3" s="31" t="s">
        <v>663</v>
      </c>
      <c r="AB3" s="31" t="s">
        <v>663</v>
      </c>
      <c r="AC3" s="31" t="s">
        <v>663</v>
      </c>
      <c r="AD3" s="31" t="s">
        <v>663</v>
      </c>
      <c r="AE3" s="31" t="s">
        <v>664</v>
      </c>
      <c r="AF3" s="31" t="s">
        <v>664</v>
      </c>
      <c r="AG3" s="31" t="s">
        <v>664</v>
      </c>
      <c r="AH3" s="31" t="s">
        <v>664</v>
      </c>
      <c r="AI3" s="31" t="s">
        <v>664</v>
      </c>
      <c r="AJ3" s="70" t="s">
        <v>668</v>
      </c>
      <c r="AK3" s="70" t="s">
        <v>668</v>
      </c>
      <c r="AL3" s="70" t="s">
        <v>668</v>
      </c>
      <c r="AM3" s="70" t="s">
        <v>668</v>
      </c>
      <c r="AN3" s="70" t="s">
        <v>668</v>
      </c>
      <c r="AO3" s="31" t="s">
        <v>667</v>
      </c>
      <c r="AP3" s="31" t="s">
        <v>667</v>
      </c>
      <c r="AQ3" s="31" t="s">
        <v>667</v>
      </c>
      <c r="AR3" s="31" t="s">
        <v>667</v>
      </c>
      <c r="AS3" s="31" t="s">
        <v>572</v>
      </c>
      <c r="AT3" s="31" t="s">
        <v>572</v>
      </c>
      <c r="AU3" s="31" t="s">
        <v>572</v>
      </c>
      <c r="AV3" s="31" t="s">
        <v>572</v>
      </c>
      <c r="AW3" s="31" t="s">
        <v>572</v>
      </c>
    </row>
    <row r="4" spans="1:49" s="31" customFormat="1" ht="105" x14ac:dyDescent="0.25">
      <c r="A4" s="49" t="s">
        <v>300</v>
      </c>
      <c r="B4" s="31" t="s">
        <v>417</v>
      </c>
      <c r="C4" s="31" t="s">
        <v>418</v>
      </c>
      <c r="D4" s="31" t="s">
        <v>419</v>
      </c>
      <c r="E4" s="72" t="s">
        <v>420</v>
      </c>
      <c r="F4" s="72" t="s">
        <v>421</v>
      </c>
      <c r="G4" s="72" t="s">
        <v>422</v>
      </c>
      <c r="H4" s="31" t="s">
        <v>389</v>
      </c>
      <c r="I4" s="31" t="s">
        <v>390</v>
      </c>
      <c r="J4" s="31" t="s">
        <v>391</v>
      </c>
      <c r="K4" s="31" t="s">
        <v>392</v>
      </c>
      <c r="L4" s="31" t="s">
        <v>393</v>
      </c>
      <c r="M4" s="31" t="s">
        <v>394</v>
      </c>
      <c r="N4" s="31" t="s">
        <v>395</v>
      </c>
      <c r="O4" s="31" t="s">
        <v>396</v>
      </c>
      <c r="P4" s="31" t="s">
        <v>397</v>
      </c>
      <c r="Q4" s="31" t="s">
        <v>398</v>
      </c>
      <c r="R4" s="31" t="s">
        <v>399</v>
      </c>
      <c r="S4" s="31" t="s">
        <v>406</v>
      </c>
      <c r="T4" s="31" t="s">
        <v>407</v>
      </c>
      <c r="U4" s="31" t="s">
        <v>405</v>
      </c>
      <c r="V4" s="31" t="s">
        <v>400</v>
      </c>
      <c r="W4" s="31" t="s">
        <v>401</v>
      </c>
      <c r="X4" s="31" t="s">
        <v>402</v>
      </c>
      <c r="Y4" s="31" t="s">
        <v>404</v>
      </c>
      <c r="Z4" s="31" t="s">
        <v>403</v>
      </c>
      <c r="AA4" s="31" t="s">
        <v>408</v>
      </c>
      <c r="AB4" s="31" t="s">
        <v>409</v>
      </c>
      <c r="AC4" s="31" t="s">
        <v>411</v>
      </c>
      <c r="AD4" s="31" t="s">
        <v>410</v>
      </c>
      <c r="AE4" s="31" t="s">
        <v>415</v>
      </c>
      <c r="AF4" s="31" t="s">
        <v>413</v>
      </c>
      <c r="AG4" s="31" t="s">
        <v>414</v>
      </c>
      <c r="AH4" s="31" t="s">
        <v>412</v>
      </c>
      <c r="AI4" s="31" t="s">
        <v>416</v>
      </c>
      <c r="AJ4" s="70" t="s">
        <v>611</v>
      </c>
      <c r="AK4" s="70" t="s">
        <v>608</v>
      </c>
      <c r="AL4" s="70" t="s">
        <v>610</v>
      </c>
      <c r="AM4" s="70" t="s">
        <v>607</v>
      </c>
      <c r="AN4" s="70" t="s">
        <v>1236</v>
      </c>
      <c r="AO4" s="31" t="s">
        <v>431</v>
      </c>
      <c r="AP4" s="31" t="s">
        <v>423</v>
      </c>
      <c r="AQ4" s="31" t="s">
        <v>432</v>
      </c>
      <c r="AR4" s="31" t="s">
        <v>424</v>
      </c>
      <c r="AS4" s="31" t="s">
        <v>573</v>
      </c>
      <c r="AT4" s="31" t="s">
        <v>574</v>
      </c>
      <c r="AU4" s="31" t="s">
        <v>575</v>
      </c>
      <c r="AV4" s="31" t="s">
        <v>576</v>
      </c>
      <c r="AW4" s="31" t="s">
        <v>577</v>
      </c>
    </row>
    <row r="5" spans="1:49" s="31" customFormat="1" ht="60" x14ac:dyDescent="0.25">
      <c r="A5" s="49" t="s">
        <v>613</v>
      </c>
      <c r="B5" s="31" t="s">
        <v>362</v>
      </c>
      <c r="C5" s="31" t="s">
        <v>362</v>
      </c>
      <c r="D5" s="31" t="s">
        <v>362</v>
      </c>
      <c r="E5" s="72" t="s">
        <v>280</v>
      </c>
      <c r="F5" s="72" t="s">
        <v>372</v>
      </c>
      <c r="G5" s="72" t="s">
        <v>371</v>
      </c>
      <c r="H5" s="31" t="s">
        <v>301</v>
      </c>
      <c r="I5" s="31" t="s">
        <v>301</v>
      </c>
      <c r="J5" s="31" t="s">
        <v>301</v>
      </c>
      <c r="K5" s="31" t="s">
        <v>301</v>
      </c>
      <c r="L5" s="31" t="s">
        <v>301</v>
      </c>
      <c r="M5" s="31" t="s">
        <v>301</v>
      </c>
      <c r="N5" s="31" t="s">
        <v>301</v>
      </c>
      <c r="O5" s="31" t="s">
        <v>301</v>
      </c>
      <c r="P5" s="31" t="s">
        <v>301</v>
      </c>
      <c r="Q5" s="31" t="s">
        <v>301</v>
      </c>
      <c r="R5" s="31" t="s">
        <v>301</v>
      </c>
      <c r="S5" s="31" t="s">
        <v>332</v>
      </c>
      <c r="T5" s="31" t="s">
        <v>332</v>
      </c>
      <c r="U5" s="31" t="s">
        <v>332</v>
      </c>
      <c r="V5" s="31" t="s">
        <v>317</v>
      </c>
      <c r="W5" s="31" t="s">
        <v>324</v>
      </c>
      <c r="X5" s="31" t="s">
        <v>324</v>
      </c>
      <c r="Y5" s="31" t="s">
        <v>328</v>
      </c>
      <c r="Z5" s="31" t="s">
        <v>328</v>
      </c>
      <c r="AA5" s="31" t="s">
        <v>357</v>
      </c>
      <c r="AB5" s="31" t="s">
        <v>359</v>
      </c>
      <c r="AC5" s="31" t="s">
        <v>360</v>
      </c>
      <c r="AD5" s="31" t="s">
        <v>361</v>
      </c>
      <c r="AE5" s="31" t="s">
        <v>354</v>
      </c>
      <c r="AF5" s="31" t="s">
        <v>355</v>
      </c>
      <c r="AG5" s="31" t="s">
        <v>356</v>
      </c>
      <c r="AH5" s="31" t="s">
        <v>356</v>
      </c>
      <c r="AI5" s="31" t="s">
        <v>357</v>
      </c>
      <c r="AJ5" s="70" t="s">
        <v>600</v>
      </c>
      <c r="AK5" s="70" t="s">
        <v>600</v>
      </c>
      <c r="AL5" s="70" t="s">
        <v>600</v>
      </c>
      <c r="AM5" s="70" t="s">
        <v>600</v>
      </c>
      <c r="AN5" s="70" t="s">
        <v>600</v>
      </c>
      <c r="AO5" s="31" t="s">
        <v>371</v>
      </c>
      <c r="AP5" s="31" t="s">
        <v>371</v>
      </c>
      <c r="AQ5" s="31" t="s">
        <v>354</v>
      </c>
      <c r="AR5" s="31" t="s">
        <v>354</v>
      </c>
      <c r="AS5" s="31" t="s">
        <v>578</v>
      </c>
      <c r="AT5" s="31" t="s">
        <v>579</v>
      </c>
      <c r="AU5" s="31" t="s">
        <v>580</v>
      </c>
      <c r="AV5" s="31" t="s">
        <v>581</v>
      </c>
      <c r="AW5" s="31" t="s">
        <v>582</v>
      </c>
    </row>
    <row r="6" spans="1:49" s="31" customFormat="1" ht="45" x14ac:dyDescent="0.25">
      <c r="A6" s="49" t="s">
        <v>1238</v>
      </c>
      <c r="B6" s="73" t="s">
        <v>1240</v>
      </c>
      <c r="C6" s="73" t="s">
        <v>1240</v>
      </c>
      <c r="D6" s="73" t="s">
        <v>1240</v>
      </c>
      <c r="E6" s="72">
        <v>2013</v>
      </c>
      <c r="F6" s="72">
        <v>2013</v>
      </c>
      <c r="G6" s="73" t="s">
        <v>1240</v>
      </c>
      <c r="H6" s="73" t="s">
        <v>1239</v>
      </c>
      <c r="I6" s="73" t="s">
        <v>1239</v>
      </c>
      <c r="J6" s="73" t="s">
        <v>1239</v>
      </c>
      <c r="K6" s="73" t="s">
        <v>1239</v>
      </c>
      <c r="L6" s="73" t="s">
        <v>1239</v>
      </c>
      <c r="M6" s="73" t="s">
        <v>1239</v>
      </c>
      <c r="N6" s="73" t="s">
        <v>1239</v>
      </c>
      <c r="O6" s="73" t="s">
        <v>1239</v>
      </c>
      <c r="P6" s="73" t="s">
        <v>1239</v>
      </c>
      <c r="Q6" s="73" t="s">
        <v>1239</v>
      </c>
      <c r="R6" s="73" t="s">
        <v>1239</v>
      </c>
      <c r="S6" s="73" t="s">
        <v>1241</v>
      </c>
      <c r="T6" s="73" t="s">
        <v>1241</v>
      </c>
      <c r="U6" s="73" t="s">
        <v>1241</v>
      </c>
      <c r="V6" s="73" t="s">
        <v>1242</v>
      </c>
      <c r="W6" s="73" t="s">
        <v>1243</v>
      </c>
      <c r="X6" s="73" t="s">
        <v>1243</v>
      </c>
      <c r="Y6" s="73" t="s">
        <v>1244</v>
      </c>
      <c r="Z6" s="73" t="s">
        <v>1244</v>
      </c>
      <c r="AA6" s="73" t="s">
        <v>1245</v>
      </c>
      <c r="AB6" s="73" t="s">
        <v>1245</v>
      </c>
      <c r="AC6" s="73" t="s">
        <v>1245</v>
      </c>
      <c r="AD6" s="73" t="s">
        <v>1246</v>
      </c>
      <c r="AE6" s="31" t="s">
        <v>269</v>
      </c>
      <c r="AF6" s="31" t="s">
        <v>269</v>
      </c>
      <c r="AG6" s="31" t="s">
        <v>269</v>
      </c>
      <c r="AH6" s="73" t="s">
        <v>1247</v>
      </c>
      <c r="AI6" s="31" t="s">
        <v>269</v>
      </c>
      <c r="AJ6" s="70">
        <v>2015</v>
      </c>
      <c r="AK6" s="70">
        <v>2016</v>
      </c>
      <c r="AL6" s="70">
        <v>2016</v>
      </c>
      <c r="AM6" s="70">
        <v>2016</v>
      </c>
      <c r="AN6" s="70">
        <v>2016</v>
      </c>
      <c r="AO6" s="31">
        <v>2016</v>
      </c>
      <c r="AP6" s="31">
        <v>2016</v>
      </c>
      <c r="AQ6" s="31">
        <v>2016</v>
      </c>
      <c r="AR6" s="31">
        <v>2016</v>
      </c>
      <c r="AS6" s="31">
        <v>2016</v>
      </c>
      <c r="AT6" s="31">
        <v>2016</v>
      </c>
      <c r="AU6" s="31">
        <v>2016</v>
      </c>
      <c r="AV6" s="31">
        <v>2016</v>
      </c>
      <c r="AW6" s="31">
        <v>2014</v>
      </c>
    </row>
    <row r="7" spans="1:49" s="31" customFormat="1" ht="65.25" customHeight="1" x14ac:dyDescent="0.25">
      <c r="A7" s="49" t="s">
        <v>614</v>
      </c>
      <c r="B7" s="75" t="s">
        <v>684</v>
      </c>
      <c r="C7" s="75" t="s">
        <v>684</v>
      </c>
      <c r="D7" s="75" t="s">
        <v>687</v>
      </c>
      <c r="E7" s="80" t="s">
        <v>374</v>
      </c>
      <c r="F7" s="80" t="s">
        <v>374</v>
      </c>
      <c r="G7" s="75" t="s">
        <v>685</v>
      </c>
      <c r="H7" s="76" t="s">
        <v>323</v>
      </c>
      <c r="I7" s="76" t="s">
        <v>323</v>
      </c>
      <c r="J7" s="76" t="s">
        <v>323</v>
      </c>
      <c r="K7" s="76" t="s">
        <v>323</v>
      </c>
      <c r="L7" s="76" t="s">
        <v>323</v>
      </c>
      <c r="M7" s="76" t="s">
        <v>323</v>
      </c>
      <c r="N7" s="76" t="s">
        <v>323</v>
      </c>
      <c r="O7" s="76" t="s">
        <v>323</v>
      </c>
      <c r="P7" s="76" t="s">
        <v>323</v>
      </c>
      <c r="Q7" s="76" t="s">
        <v>323</v>
      </c>
      <c r="R7" s="76" t="s">
        <v>323</v>
      </c>
      <c r="S7" s="79" t="s">
        <v>674</v>
      </c>
      <c r="T7" s="79" t="s">
        <v>675</v>
      </c>
      <c r="U7" s="79" t="s">
        <v>323</v>
      </c>
      <c r="V7" s="77" t="s">
        <v>318</v>
      </c>
      <c r="W7" s="78" t="s">
        <v>673</v>
      </c>
      <c r="X7" s="78" t="s">
        <v>325</v>
      </c>
      <c r="Y7" s="79" t="s">
        <v>686</v>
      </c>
      <c r="Z7" s="79" t="s">
        <v>686</v>
      </c>
      <c r="AA7" s="75" t="s">
        <v>676</v>
      </c>
      <c r="AB7" s="75" t="s">
        <v>676</v>
      </c>
      <c r="AC7" s="75" t="s">
        <v>676</v>
      </c>
      <c r="AD7" s="75" t="s">
        <v>676</v>
      </c>
      <c r="AE7" s="79" t="s">
        <v>677</v>
      </c>
      <c r="AF7" s="79" t="s">
        <v>677</v>
      </c>
      <c r="AG7" s="79" t="s">
        <v>678</v>
      </c>
      <c r="AH7" s="79" t="s">
        <v>676</v>
      </c>
      <c r="AI7" s="79" t="s">
        <v>358</v>
      </c>
      <c r="AJ7" s="81" t="s">
        <v>682</v>
      </c>
      <c r="AK7" s="81" t="s">
        <v>683</v>
      </c>
      <c r="AL7" s="81" t="s">
        <v>599</v>
      </c>
      <c r="AM7" s="81" t="s">
        <v>598</v>
      </c>
      <c r="AN7" s="81" t="s">
        <v>597</v>
      </c>
      <c r="AO7" s="79" t="s">
        <v>679</v>
      </c>
      <c r="AP7" s="79" t="s">
        <v>679</v>
      </c>
      <c r="AQ7" s="79" t="s">
        <v>680</v>
      </c>
      <c r="AR7" s="79" t="s">
        <v>680</v>
      </c>
      <c r="AS7" s="79" t="s">
        <v>681</v>
      </c>
      <c r="AT7" s="79" t="s">
        <v>681</v>
      </c>
      <c r="AU7" s="79" t="s">
        <v>681</v>
      </c>
      <c r="AV7" s="79" t="s">
        <v>681</v>
      </c>
      <c r="AW7" s="79" t="s">
        <v>681</v>
      </c>
    </row>
    <row r="8" spans="1:49" s="31" customFormat="1" x14ac:dyDescent="0.25">
      <c r="A8" s="49" t="s">
        <v>302</v>
      </c>
      <c r="B8" s="31" t="s">
        <v>363</v>
      </c>
      <c r="C8" s="31" t="s">
        <v>363</v>
      </c>
      <c r="D8" s="31" t="s">
        <v>363</v>
      </c>
      <c r="E8" s="72" t="s">
        <v>373</v>
      </c>
      <c r="F8" s="72" t="s">
        <v>373</v>
      </c>
      <c r="G8" s="72" t="s">
        <v>373</v>
      </c>
      <c r="H8" s="31" t="s">
        <v>303</v>
      </c>
      <c r="I8" s="31" t="s">
        <v>303</v>
      </c>
      <c r="J8" s="31" t="s">
        <v>303</v>
      </c>
      <c r="K8" s="31" t="s">
        <v>303</v>
      </c>
      <c r="L8" s="31" t="s">
        <v>303</v>
      </c>
      <c r="M8" s="31" t="s">
        <v>303</v>
      </c>
      <c r="N8" s="31" t="s">
        <v>303</v>
      </c>
      <c r="O8" s="31" t="s">
        <v>303</v>
      </c>
      <c r="P8" s="31" t="s">
        <v>303</v>
      </c>
      <c r="Q8" s="31" t="s">
        <v>303</v>
      </c>
      <c r="R8" s="31" t="s">
        <v>303</v>
      </c>
      <c r="S8" s="31" t="s">
        <v>319</v>
      </c>
      <c r="T8" s="31" t="s">
        <v>319</v>
      </c>
      <c r="U8" s="31" t="s">
        <v>319</v>
      </c>
      <c r="V8" s="31" t="s">
        <v>319</v>
      </c>
      <c r="W8" s="31" t="s">
        <v>319</v>
      </c>
      <c r="X8" s="31" t="s">
        <v>319</v>
      </c>
      <c r="Y8" s="31" t="s">
        <v>319</v>
      </c>
      <c r="Z8" s="31" t="s">
        <v>319</v>
      </c>
      <c r="AA8" s="31" t="s">
        <v>341</v>
      </c>
      <c r="AB8" s="31" t="s">
        <v>341</v>
      </c>
      <c r="AC8" s="31" t="s">
        <v>341</v>
      </c>
      <c r="AD8" s="31" t="s">
        <v>341</v>
      </c>
      <c r="AE8" s="31" t="s">
        <v>341</v>
      </c>
      <c r="AF8" s="31" t="s">
        <v>341</v>
      </c>
      <c r="AG8" s="31" t="s">
        <v>341</v>
      </c>
      <c r="AH8" s="31" t="s">
        <v>341</v>
      </c>
      <c r="AI8" s="31" t="s">
        <v>341</v>
      </c>
      <c r="AJ8" s="70" t="s">
        <v>341</v>
      </c>
      <c r="AK8" s="70" t="s">
        <v>341</v>
      </c>
      <c r="AL8" s="70" t="s">
        <v>341</v>
      </c>
      <c r="AM8" s="70" t="s">
        <v>341</v>
      </c>
      <c r="AN8" s="70" t="s">
        <v>341</v>
      </c>
      <c r="AO8" s="31" t="s">
        <v>383</v>
      </c>
      <c r="AP8" s="31" t="s">
        <v>383</v>
      </c>
      <c r="AQ8" s="31" t="s">
        <v>383</v>
      </c>
      <c r="AR8" s="31" t="s">
        <v>383</v>
      </c>
      <c r="AS8" s="31" t="s">
        <v>383</v>
      </c>
      <c r="AT8" s="31" t="s">
        <v>383</v>
      </c>
      <c r="AU8" s="31" t="s">
        <v>383</v>
      </c>
      <c r="AV8" s="31" t="s">
        <v>383</v>
      </c>
      <c r="AW8" s="31" t="s">
        <v>383</v>
      </c>
    </row>
    <row r="9" spans="1:49" s="31" customFormat="1" ht="60" x14ac:dyDescent="0.25">
      <c r="A9" s="49" t="s">
        <v>335</v>
      </c>
      <c r="B9" s="31" t="s">
        <v>364</v>
      </c>
      <c r="C9" s="31" t="s">
        <v>364</v>
      </c>
      <c r="D9" s="31" t="s">
        <v>364</v>
      </c>
      <c r="E9" s="72" t="s">
        <v>375</v>
      </c>
      <c r="F9" s="72" t="s">
        <v>375</v>
      </c>
      <c r="G9" s="72" t="s">
        <v>375</v>
      </c>
      <c r="H9" s="31" t="s">
        <v>672</v>
      </c>
      <c r="I9" s="31" t="s">
        <v>672</v>
      </c>
      <c r="J9" s="31" t="s">
        <v>672</v>
      </c>
      <c r="K9" s="31" t="s">
        <v>672</v>
      </c>
      <c r="L9" s="31" t="s">
        <v>672</v>
      </c>
      <c r="M9" s="31" t="s">
        <v>672</v>
      </c>
      <c r="N9" s="31" t="s">
        <v>672</v>
      </c>
      <c r="O9" s="31" t="s">
        <v>672</v>
      </c>
      <c r="P9" s="31" t="s">
        <v>672</v>
      </c>
      <c r="Q9" s="31" t="s">
        <v>672</v>
      </c>
      <c r="R9" s="31" t="s">
        <v>672</v>
      </c>
      <c r="S9" s="31" t="s">
        <v>672</v>
      </c>
      <c r="T9" s="31" t="s">
        <v>672</v>
      </c>
      <c r="U9" s="31" t="s">
        <v>672</v>
      </c>
      <c r="V9" s="31" t="s">
        <v>672</v>
      </c>
      <c r="W9" s="31" t="s">
        <v>672</v>
      </c>
      <c r="X9" s="31" t="s">
        <v>672</v>
      </c>
      <c r="Y9" s="31" t="s">
        <v>672</v>
      </c>
      <c r="Z9" s="31" t="s">
        <v>672</v>
      </c>
      <c r="AA9" s="31" t="s">
        <v>342</v>
      </c>
      <c r="AB9" s="31" t="s">
        <v>342</v>
      </c>
      <c r="AC9" s="31" t="s">
        <v>342</v>
      </c>
      <c r="AD9" s="31" t="s">
        <v>342</v>
      </c>
      <c r="AE9" s="31" t="s">
        <v>351</v>
      </c>
      <c r="AF9" s="31" t="s">
        <v>351</v>
      </c>
      <c r="AG9" s="31" t="s">
        <v>351</v>
      </c>
      <c r="AH9" s="31" t="s">
        <v>351</v>
      </c>
      <c r="AI9" s="31" t="s">
        <v>351</v>
      </c>
      <c r="AJ9" s="31" t="s">
        <v>671</v>
      </c>
      <c r="AK9" s="31" t="s">
        <v>671</v>
      </c>
      <c r="AL9" s="31" t="s">
        <v>671</v>
      </c>
      <c r="AM9" s="31" t="s">
        <v>671</v>
      </c>
      <c r="AN9" s="31" t="s">
        <v>671</v>
      </c>
      <c r="AO9" s="31" t="s">
        <v>382</v>
      </c>
      <c r="AP9" s="31" t="s">
        <v>382</v>
      </c>
      <c r="AQ9" s="31" t="s">
        <v>382</v>
      </c>
      <c r="AR9" s="31" t="s">
        <v>382</v>
      </c>
      <c r="AS9" s="31" t="s">
        <v>375</v>
      </c>
      <c r="AT9" s="31" t="s">
        <v>375</v>
      </c>
      <c r="AU9" s="31" t="s">
        <v>375</v>
      </c>
      <c r="AV9" s="31" t="s">
        <v>375</v>
      </c>
      <c r="AW9" s="31" t="s">
        <v>583</v>
      </c>
    </row>
    <row r="10" spans="1:49" s="31" customFormat="1" ht="75" x14ac:dyDescent="0.25">
      <c r="A10" s="49" t="s">
        <v>304</v>
      </c>
      <c r="B10" s="31" t="s">
        <v>365</v>
      </c>
      <c r="C10" s="31" t="s">
        <v>365</v>
      </c>
      <c r="D10" s="31" t="s">
        <v>365</v>
      </c>
      <c r="E10" s="31" t="s">
        <v>365</v>
      </c>
      <c r="F10" s="31" t="s">
        <v>365</v>
      </c>
      <c r="G10" s="31" t="s">
        <v>365</v>
      </c>
      <c r="H10" s="31" t="s">
        <v>305</v>
      </c>
      <c r="I10" s="31" t="s">
        <v>305</v>
      </c>
      <c r="J10" s="31" t="s">
        <v>305</v>
      </c>
      <c r="K10" s="31" t="s">
        <v>305</v>
      </c>
      <c r="L10" s="31" t="s">
        <v>305</v>
      </c>
      <c r="M10" s="31" t="s">
        <v>305</v>
      </c>
      <c r="N10" s="31" t="s">
        <v>305</v>
      </c>
      <c r="O10" s="31" t="s">
        <v>305</v>
      </c>
      <c r="P10" s="31" t="s">
        <v>305</v>
      </c>
      <c r="Q10" s="31" t="s">
        <v>305</v>
      </c>
      <c r="R10" s="31" t="s">
        <v>305</v>
      </c>
      <c r="S10" s="31" t="s">
        <v>333</v>
      </c>
      <c r="T10" s="31" t="s">
        <v>333</v>
      </c>
      <c r="U10" s="31" t="s">
        <v>333</v>
      </c>
      <c r="V10" s="31" t="s">
        <v>320</v>
      </c>
      <c r="W10" s="31" t="s">
        <v>305</v>
      </c>
      <c r="X10" s="31" t="s">
        <v>305</v>
      </c>
      <c r="Y10" s="31" t="s">
        <v>329</v>
      </c>
      <c r="Z10" s="31" t="s">
        <v>329</v>
      </c>
      <c r="AA10" s="31" t="s">
        <v>347</v>
      </c>
      <c r="AB10" s="31" t="s">
        <v>347</v>
      </c>
      <c r="AC10" s="31" t="s">
        <v>347</v>
      </c>
      <c r="AD10" s="31" t="s">
        <v>347</v>
      </c>
      <c r="AE10" s="31" t="s">
        <v>347</v>
      </c>
      <c r="AF10" s="31" t="s">
        <v>347</v>
      </c>
      <c r="AG10" s="31" t="s">
        <v>347</v>
      </c>
      <c r="AH10" s="31" t="s">
        <v>347</v>
      </c>
      <c r="AI10" s="31" t="s">
        <v>347</v>
      </c>
      <c r="AJ10" s="70" t="s">
        <v>584</v>
      </c>
      <c r="AK10" s="70" t="s">
        <v>584</v>
      </c>
      <c r="AL10" s="70" t="s">
        <v>584</v>
      </c>
      <c r="AM10" s="70" t="s">
        <v>584</v>
      </c>
      <c r="AN10" s="70" t="s">
        <v>584</v>
      </c>
      <c r="AO10" s="31" t="s">
        <v>365</v>
      </c>
      <c r="AP10" s="31" t="s">
        <v>365</v>
      </c>
      <c r="AQ10" s="31" t="s">
        <v>365</v>
      </c>
      <c r="AR10" s="31" t="s">
        <v>365</v>
      </c>
      <c r="AS10" s="31" t="s">
        <v>584</v>
      </c>
      <c r="AT10" s="31" t="s">
        <v>584</v>
      </c>
      <c r="AU10" s="31" t="s">
        <v>584</v>
      </c>
      <c r="AV10" s="31" t="s">
        <v>584</v>
      </c>
      <c r="AW10" s="31" t="s">
        <v>365</v>
      </c>
    </row>
    <row r="11" spans="1:49" s="31" customFormat="1" ht="135" x14ac:dyDescent="0.25">
      <c r="A11" s="49" t="s">
        <v>306</v>
      </c>
      <c r="B11" s="31" t="s">
        <v>366</v>
      </c>
      <c r="C11" s="31" t="s">
        <v>366</v>
      </c>
      <c r="D11" s="31" t="s">
        <v>366</v>
      </c>
      <c r="E11" s="72" t="s">
        <v>376</v>
      </c>
      <c r="F11" s="72" t="s">
        <v>376</v>
      </c>
      <c r="G11" s="72" t="s">
        <v>376</v>
      </c>
      <c r="H11" s="31" t="s">
        <v>314</v>
      </c>
      <c r="I11" s="31" t="s">
        <v>314</v>
      </c>
      <c r="J11" s="31" t="s">
        <v>314</v>
      </c>
      <c r="K11" s="31" t="s">
        <v>314</v>
      </c>
      <c r="L11" s="31" t="s">
        <v>314</v>
      </c>
      <c r="M11" s="31" t="s">
        <v>314</v>
      </c>
      <c r="N11" s="31" t="s">
        <v>314</v>
      </c>
      <c r="O11" s="31" t="s">
        <v>314</v>
      </c>
      <c r="P11" s="31" t="s">
        <v>314</v>
      </c>
      <c r="Q11" s="31" t="s">
        <v>314</v>
      </c>
      <c r="R11" s="31" t="s">
        <v>314</v>
      </c>
      <c r="S11" s="31" t="s">
        <v>334</v>
      </c>
      <c r="T11" s="31" t="s">
        <v>334</v>
      </c>
      <c r="U11" s="31" t="s">
        <v>334</v>
      </c>
      <c r="V11" s="31" t="s">
        <v>321</v>
      </c>
      <c r="W11" s="31" t="s">
        <v>326</v>
      </c>
      <c r="X11" s="31" t="s">
        <v>326</v>
      </c>
      <c r="Y11" s="31" t="s">
        <v>330</v>
      </c>
      <c r="Z11" s="31" t="s">
        <v>330</v>
      </c>
      <c r="AA11" s="31" t="s">
        <v>340</v>
      </c>
      <c r="AB11" s="31" t="s">
        <v>340</v>
      </c>
      <c r="AC11" s="31" t="s">
        <v>340</v>
      </c>
      <c r="AD11" s="31" t="s">
        <v>340</v>
      </c>
      <c r="AE11" s="31" t="s">
        <v>348</v>
      </c>
      <c r="AF11" s="31" t="s">
        <v>348</v>
      </c>
      <c r="AG11" s="31" t="s">
        <v>348</v>
      </c>
      <c r="AH11" s="31" t="s">
        <v>348</v>
      </c>
      <c r="AI11" s="31" t="s">
        <v>348</v>
      </c>
      <c r="AJ11" s="70" t="s">
        <v>596</v>
      </c>
      <c r="AK11" s="70" t="s">
        <v>596</v>
      </c>
      <c r="AL11" s="70" t="s">
        <v>596</v>
      </c>
      <c r="AM11" s="70" t="s">
        <v>596</v>
      </c>
      <c r="AN11" s="70" t="s">
        <v>596</v>
      </c>
      <c r="AO11" s="31" t="s">
        <v>384</v>
      </c>
      <c r="AP11" s="31" t="s">
        <v>384</v>
      </c>
      <c r="AQ11" s="31" t="s">
        <v>384</v>
      </c>
      <c r="AR11" s="31" t="s">
        <v>384</v>
      </c>
      <c r="AS11" s="31" t="s">
        <v>585</v>
      </c>
      <c r="AT11" s="31" t="s">
        <v>585</v>
      </c>
      <c r="AU11" s="31" t="s">
        <v>585</v>
      </c>
      <c r="AV11" s="31" t="s">
        <v>585</v>
      </c>
      <c r="AW11" s="31" t="s">
        <v>585</v>
      </c>
    </row>
    <row r="12" spans="1:49" s="31" customFormat="1" ht="105" x14ac:dyDescent="0.25">
      <c r="A12" s="49" t="s">
        <v>308</v>
      </c>
      <c r="B12" s="31" t="s">
        <v>367</v>
      </c>
      <c r="C12" s="31" t="s">
        <v>367</v>
      </c>
      <c r="D12" s="31" t="s">
        <v>367</v>
      </c>
      <c r="E12" s="72" t="s">
        <v>377</v>
      </c>
      <c r="F12" s="72" t="s">
        <v>377</v>
      </c>
      <c r="G12" s="72" t="s">
        <v>377</v>
      </c>
      <c r="H12" s="31" t="s">
        <v>309</v>
      </c>
      <c r="I12" s="31" t="s">
        <v>309</v>
      </c>
      <c r="J12" s="31" t="s">
        <v>309</v>
      </c>
      <c r="K12" s="31" t="s">
        <v>309</v>
      </c>
      <c r="L12" s="31" t="s">
        <v>309</v>
      </c>
      <c r="M12" s="31" t="s">
        <v>309</v>
      </c>
      <c r="N12" s="31" t="s">
        <v>309</v>
      </c>
      <c r="O12" s="31" t="s">
        <v>309</v>
      </c>
      <c r="P12" s="31" t="s">
        <v>309</v>
      </c>
      <c r="Q12" s="31" t="s">
        <v>309</v>
      </c>
      <c r="R12" s="31" t="s">
        <v>309</v>
      </c>
      <c r="S12" s="31" t="s">
        <v>309</v>
      </c>
      <c r="T12" s="31" t="s">
        <v>309</v>
      </c>
      <c r="U12" s="31" t="s">
        <v>309</v>
      </c>
      <c r="V12" s="31" t="s">
        <v>309</v>
      </c>
      <c r="W12" s="31" t="s">
        <v>309</v>
      </c>
      <c r="X12" s="31" t="s">
        <v>309</v>
      </c>
      <c r="Y12" s="31" t="s">
        <v>309</v>
      </c>
      <c r="Z12" s="31" t="s">
        <v>309</v>
      </c>
      <c r="AA12" s="31" t="s">
        <v>346</v>
      </c>
      <c r="AB12" s="31" t="s">
        <v>346</v>
      </c>
      <c r="AC12" s="31" t="s">
        <v>346</v>
      </c>
      <c r="AD12" s="31" t="s">
        <v>346</v>
      </c>
      <c r="AE12" s="31" t="s">
        <v>349</v>
      </c>
      <c r="AF12" s="31" t="s">
        <v>349</v>
      </c>
      <c r="AG12" s="31" t="s">
        <v>349</v>
      </c>
      <c r="AH12" s="31" t="s">
        <v>349</v>
      </c>
      <c r="AI12" s="31" t="s">
        <v>349</v>
      </c>
      <c r="AJ12" s="70" t="s">
        <v>595</v>
      </c>
      <c r="AK12" s="70" t="s">
        <v>595</v>
      </c>
      <c r="AL12" s="70" t="s">
        <v>595</v>
      </c>
      <c r="AM12" s="70" t="s">
        <v>595</v>
      </c>
      <c r="AN12" s="70" t="s">
        <v>595</v>
      </c>
      <c r="AO12" s="31" t="s">
        <v>385</v>
      </c>
      <c r="AP12" s="31" t="s">
        <v>385</v>
      </c>
      <c r="AQ12" s="31" t="s">
        <v>385</v>
      </c>
      <c r="AR12" s="31" t="s">
        <v>385</v>
      </c>
      <c r="AS12" s="31" t="s">
        <v>586</v>
      </c>
      <c r="AT12" s="31" t="s">
        <v>586</v>
      </c>
      <c r="AU12" s="31" t="s">
        <v>586</v>
      </c>
      <c r="AV12" s="31" t="s">
        <v>586</v>
      </c>
      <c r="AW12" s="31" t="s">
        <v>591</v>
      </c>
    </row>
    <row r="13" spans="1:49" s="31" customFormat="1" ht="195" x14ac:dyDescent="0.25">
      <c r="A13" s="49" t="s">
        <v>310</v>
      </c>
      <c r="B13" s="31" t="s">
        <v>369</v>
      </c>
      <c r="C13" s="31" t="s">
        <v>369</v>
      </c>
      <c r="D13" s="31" t="s">
        <v>369</v>
      </c>
      <c r="E13" s="72" t="s">
        <v>379</v>
      </c>
      <c r="F13" s="72" t="s">
        <v>379</v>
      </c>
      <c r="G13" s="72" t="s">
        <v>379</v>
      </c>
      <c r="H13" s="31" t="s">
        <v>311</v>
      </c>
      <c r="I13" s="31" t="s">
        <v>311</v>
      </c>
      <c r="J13" s="31" t="s">
        <v>311</v>
      </c>
      <c r="K13" s="31" t="s">
        <v>311</v>
      </c>
      <c r="L13" s="31" t="s">
        <v>311</v>
      </c>
      <c r="M13" s="31" t="s">
        <v>311</v>
      </c>
      <c r="N13" s="31" t="s">
        <v>311</v>
      </c>
      <c r="O13" s="31" t="s">
        <v>311</v>
      </c>
      <c r="P13" s="31" t="s">
        <v>311</v>
      </c>
      <c r="Q13" s="31" t="s">
        <v>311</v>
      </c>
      <c r="R13" s="31" t="s">
        <v>311</v>
      </c>
      <c r="S13" s="31" t="s">
        <v>311</v>
      </c>
      <c r="T13" s="31" t="s">
        <v>311</v>
      </c>
      <c r="U13" s="31" t="s">
        <v>311</v>
      </c>
      <c r="V13" s="31" t="s">
        <v>311</v>
      </c>
      <c r="W13" s="31" t="s">
        <v>311</v>
      </c>
      <c r="X13" s="31" t="s">
        <v>311</v>
      </c>
      <c r="Y13" s="31" t="s">
        <v>311</v>
      </c>
      <c r="Z13" s="31" t="s">
        <v>311</v>
      </c>
      <c r="AA13" s="31" t="s">
        <v>338</v>
      </c>
      <c r="AB13" s="31" t="s">
        <v>338</v>
      </c>
      <c r="AC13" s="31" t="s">
        <v>338</v>
      </c>
      <c r="AD13" s="31" t="s">
        <v>338</v>
      </c>
      <c r="AE13" s="31" t="s">
        <v>352</v>
      </c>
      <c r="AF13" s="31" t="s">
        <v>352</v>
      </c>
      <c r="AG13" s="31" t="s">
        <v>352</v>
      </c>
      <c r="AH13" s="31" t="s">
        <v>352</v>
      </c>
      <c r="AI13" s="31" t="s">
        <v>352</v>
      </c>
      <c r="AJ13" s="70" t="s">
        <v>594</v>
      </c>
      <c r="AK13" s="70" t="s">
        <v>594</v>
      </c>
      <c r="AL13" s="70" t="s">
        <v>594</v>
      </c>
      <c r="AM13" s="70" t="s">
        <v>594</v>
      </c>
      <c r="AN13" s="70" t="s">
        <v>594</v>
      </c>
      <c r="AO13" s="31" t="s">
        <v>387</v>
      </c>
      <c r="AP13" s="31" t="s">
        <v>387</v>
      </c>
      <c r="AQ13" s="31" t="s">
        <v>387</v>
      </c>
      <c r="AR13" s="31" t="s">
        <v>387</v>
      </c>
      <c r="AS13" s="31" t="s">
        <v>587</v>
      </c>
      <c r="AT13" s="31" t="s">
        <v>587</v>
      </c>
      <c r="AU13" s="31" t="s">
        <v>587</v>
      </c>
      <c r="AV13" s="31" t="s">
        <v>587</v>
      </c>
      <c r="AW13" s="31" t="s">
        <v>588</v>
      </c>
    </row>
    <row r="14" spans="1:49" s="31" customFormat="1" ht="180" x14ac:dyDescent="0.25">
      <c r="A14" s="49" t="s">
        <v>307</v>
      </c>
      <c r="B14" s="31" t="s">
        <v>368</v>
      </c>
      <c r="C14" s="31" t="s">
        <v>368</v>
      </c>
      <c r="D14" s="31" t="s">
        <v>368</v>
      </c>
      <c r="E14" s="72" t="s">
        <v>378</v>
      </c>
      <c r="F14" s="72" t="s">
        <v>378</v>
      </c>
      <c r="G14" s="72" t="s">
        <v>1237</v>
      </c>
      <c r="H14" s="31" t="s">
        <v>315</v>
      </c>
      <c r="I14" s="31" t="s">
        <v>315</v>
      </c>
      <c r="J14" s="31" t="s">
        <v>315</v>
      </c>
      <c r="K14" s="31" t="s">
        <v>315</v>
      </c>
      <c r="L14" s="31" t="s">
        <v>315</v>
      </c>
      <c r="M14" s="31" t="s">
        <v>315</v>
      </c>
      <c r="N14" s="31" t="s">
        <v>315</v>
      </c>
      <c r="O14" s="31" t="s">
        <v>315</v>
      </c>
      <c r="P14" s="31" t="s">
        <v>315</v>
      </c>
      <c r="Q14" s="31" t="s">
        <v>315</v>
      </c>
      <c r="R14" s="31" t="s">
        <v>315</v>
      </c>
      <c r="S14" s="31" t="s">
        <v>315</v>
      </c>
      <c r="T14" s="31" t="s">
        <v>315</v>
      </c>
      <c r="U14" s="31" t="s">
        <v>315</v>
      </c>
      <c r="V14" s="31" t="s">
        <v>315</v>
      </c>
      <c r="W14" s="31" t="s">
        <v>315</v>
      </c>
      <c r="X14" s="31" t="s">
        <v>315</v>
      </c>
      <c r="Y14" s="31" t="s">
        <v>315</v>
      </c>
      <c r="Z14" s="31" t="s">
        <v>315</v>
      </c>
      <c r="AA14" s="31" t="s">
        <v>339</v>
      </c>
      <c r="AB14" s="31" t="s">
        <v>339</v>
      </c>
      <c r="AC14" s="31" t="s">
        <v>339</v>
      </c>
      <c r="AD14" s="31" t="s">
        <v>339</v>
      </c>
      <c r="AE14" s="31" t="s">
        <v>350</v>
      </c>
      <c r="AF14" s="31" t="s">
        <v>350</v>
      </c>
      <c r="AG14" s="31" t="s">
        <v>350</v>
      </c>
      <c r="AH14" s="31" t="s">
        <v>350</v>
      </c>
      <c r="AI14" s="31" t="s">
        <v>350</v>
      </c>
      <c r="AJ14" s="70" t="s">
        <v>593</v>
      </c>
      <c r="AK14" s="70" t="s">
        <v>593</v>
      </c>
      <c r="AL14" s="70" t="s">
        <v>593</v>
      </c>
      <c r="AM14" s="70" t="s">
        <v>593</v>
      </c>
      <c r="AN14" s="70" t="s">
        <v>593</v>
      </c>
      <c r="AO14" s="31" t="s">
        <v>386</v>
      </c>
      <c r="AP14" s="31" t="s">
        <v>386</v>
      </c>
      <c r="AQ14" s="31" t="s">
        <v>386</v>
      </c>
      <c r="AR14" s="31" t="s">
        <v>386</v>
      </c>
      <c r="AS14" s="31" t="s">
        <v>589</v>
      </c>
      <c r="AT14" s="31" t="s">
        <v>589</v>
      </c>
      <c r="AU14" s="31" t="s">
        <v>589</v>
      </c>
      <c r="AV14" s="31" t="s">
        <v>589</v>
      </c>
      <c r="AW14" s="31" t="s">
        <v>590</v>
      </c>
    </row>
    <row r="15" spans="1:49" s="31" customFormat="1" ht="195" x14ac:dyDescent="0.25">
      <c r="A15" s="49" t="s">
        <v>312</v>
      </c>
      <c r="B15" s="31" t="s">
        <v>370</v>
      </c>
      <c r="C15" s="31" t="s">
        <v>370</v>
      </c>
      <c r="D15" s="31" t="s">
        <v>370</v>
      </c>
      <c r="E15" s="72" t="s">
        <v>380</v>
      </c>
      <c r="F15" s="72" t="s">
        <v>380</v>
      </c>
      <c r="G15" s="72" t="s">
        <v>380</v>
      </c>
      <c r="H15" s="31" t="s">
        <v>313</v>
      </c>
      <c r="I15" s="31" t="s">
        <v>313</v>
      </c>
      <c r="J15" s="31" t="s">
        <v>313</v>
      </c>
      <c r="K15" s="31" t="s">
        <v>313</v>
      </c>
      <c r="L15" s="31" t="s">
        <v>313</v>
      </c>
      <c r="M15" s="31" t="s">
        <v>313</v>
      </c>
      <c r="N15" s="31" t="s">
        <v>313</v>
      </c>
      <c r="O15" s="31" t="s">
        <v>313</v>
      </c>
      <c r="P15" s="31" t="s">
        <v>313</v>
      </c>
      <c r="Q15" s="31" t="s">
        <v>313</v>
      </c>
      <c r="R15" s="31" t="s">
        <v>313</v>
      </c>
      <c r="S15" s="31" t="s">
        <v>313</v>
      </c>
      <c r="T15" s="31" t="s">
        <v>313</v>
      </c>
      <c r="U15" s="31" t="s">
        <v>313</v>
      </c>
      <c r="V15" s="31" t="s">
        <v>313</v>
      </c>
      <c r="W15" s="31" t="s">
        <v>313</v>
      </c>
      <c r="X15" s="31" t="s">
        <v>313</v>
      </c>
      <c r="Y15" s="31" t="s">
        <v>313</v>
      </c>
      <c r="Z15" s="31" t="s">
        <v>313</v>
      </c>
      <c r="AA15" s="31" t="s">
        <v>337</v>
      </c>
      <c r="AB15" s="31" t="s">
        <v>337</v>
      </c>
      <c r="AC15" s="31" t="s">
        <v>337</v>
      </c>
      <c r="AD15" s="31" t="s">
        <v>337</v>
      </c>
      <c r="AE15" s="31" t="s">
        <v>353</v>
      </c>
      <c r="AF15" s="31" t="s">
        <v>353</v>
      </c>
      <c r="AG15" s="31" t="s">
        <v>353</v>
      </c>
      <c r="AH15" s="31" t="s">
        <v>353</v>
      </c>
      <c r="AI15" s="31" t="s">
        <v>269</v>
      </c>
      <c r="AJ15" s="70" t="s">
        <v>592</v>
      </c>
      <c r="AK15" s="70" t="s">
        <v>592</v>
      </c>
      <c r="AL15" s="70" t="s">
        <v>592</v>
      </c>
      <c r="AM15" s="70" t="s">
        <v>592</v>
      </c>
      <c r="AN15" s="70" t="s">
        <v>592</v>
      </c>
      <c r="AO15" s="31" t="s">
        <v>388</v>
      </c>
      <c r="AP15" s="31" t="s">
        <v>388</v>
      </c>
      <c r="AQ15" s="31" t="s">
        <v>388</v>
      </c>
      <c r="AR15" s="31" t="s">
        <v>388</v>
      </c>
      <c r="AS15" s="31" t="s">
        <v>388</v>
      </c>
      <c r="AT15" s="31" t="s">
        <v>388</v>
      </c>
      <c r="AU15" s="31" t="s">
        <v>388</v>
      </c>
      <c r="AV15" s="31" t="s">
        <v>388</v>
      </c>
      <c r="AW15" s="31" t="s">
        <v>388</v>
      </c>
    </row>
    <row r="16" spans="1:49" s="31" customFormat="1" ht="90" x14ac:dyDescent="0.25">
      <c r="A16" s="49" t="s">
        <v>670</v>
      </c>
      <c r="B16" s="31" t="s">
        <v>269</v>
      </c>
      <c r="C16" s="31" t="s">
        <v>269</v>
      </c>
      <c r="D16" s="31" t="s">
        <v>269</v>
      </c>
      <c r="E16" s="72" t="s">
        <v>269</v>
      </c>
      <c r="F16" s="72" t="s">
        <v>269</v>
      </c>
      <c r="G16" s="72" t="s">
        <v>269</v>
      </c>
      <c r="H16" s="31" t="s">
        <v>316</v>
      </c>
      <c r="I16" s="31" t="s">
        <v>316</v>
      </c>
      <c r="J16" s="31" t="s">
        <v>316</v>
      </c>
      <c r="K16" s="31" t="s">
        <v>316</v>
      </c>
      <c r="L16" s="31" t="s">
        <v>316</v>
      </c>
      <c r="M16" s="31" t="s">
        <v>316</v>
      </c>
      <c r="N16" s="31" t="s">
        <v>316</v>
      </c>
      <c r="O16" s="31" t="s">
        <v>316</v>
      </c>
      <c r="P16" s="31" t="s">
        <v>316</v>
      </c>
      <c r="Q16" s="31" t="s">
        <v>316</v>
      </c>
      <c r="R16" s="31" t="s">
        <v>316</v>
      </c>
      <c r="S16" s="31" t="s">
        <v>336</v>
      </c>
      <c r="T16" s="31" t="s">
        <v>336</v>
      </c>
      <c r="U16" s="31" t="s">
        <v>336</v>
      </c>
      <c r="V16" s="31" t="s">
        <v>322</v>
      </c>
      <c r="W16" s="31" t="s">
        <v>327</v>
      </c>
      <c r="X16" s="31" t="s">
        <v>327</v>
      </c>
      <c r="Y16" s="31" t="s">
        <v>331</v>
      </c>
      <c r="Z16" s="31" t="s">
        <v>331</v>
      </c>
      <c r="AA16" s="31" t="s">
        <v>345</v>
      </c>
      <c r="AB16" s="31" t="s">
        <v>345</v>
      </c>
      <c r="AC16" s="31" t="s">
        <v>344</v>
      </c>
      <c r="AD16" s="31" t="s">
        <v>343</v>
      </c>
      <c r="AE16" s="31" t="s">
        <v>269</v>
      </c>
      <c r="AF16" s="31" t="s">
        <v>269</v>
      </c>
      <c r="AG16" s="31" t="s">
        <v>269</v>
      </c>
      <c r="AH16" s="31" t="s">
        <v>269</v>
      </c>
      <c r="AI16" s="31" t="s">
        <v>269</v>
      </c>
      <c r="AJ16" s="31" t="s">
        <v>269</v>
      </c>
      <c r="AK16" s="31" t="s">
        <v>269</v>
      </c>
      <c r="AL16" s="31" t="s">
        <v>269</v>
      </c>
      <c r="AM16" s="31" t="s">
        <v>269</v>
      </c>
      <c r="AN16" s="31" t="s">
        <v>269</v>
      </c>
      <c r="AO16" s="31" t="s">
        <v>269</v>
      </c>
      <c r="AP16" s="31" t="s">
        <v>269</v>
      </c>
      <c r="AQ16" s="31" t="s">
        <v>269</v>
      </c>
      <c r="AR16" s="31" t="s">
        <v>269</v>
      </c>
      <c r="AS16" s="31" t="s">
        <v>269</v>
      </c>
      <c r="AT16" s="31" t="s">
        <v>269</v>
      </c>
      <c r="AU16" s="31" t="s">
        <v>269</v>
      </c>
      <c r="AV16" s="31" t="s">
        <v>269</v>
      </c>
      <c r="AW16" s="31" t="s">
        <v>269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60"/>
  <sheetViews>
    <sheetView zoomScale="95" zoomScaleNormal="95" zoomScalePageLayoutView="95" workbookViewId="0"/>
  </sheetViews>
  <sheetFormatPr baseColWidth="10" defaultColWidth="9.140625" defaultRowHeight="15" x14ac:dyDescent="0.25"/>
  <cols>
    <col min="1" max="1" width="12.42578125" style="85" customWidth="1"/>
    <col min="2" max="2" width="65.85546875" style="85" customWidth="1"/>
    <col min="3" max="3" width="21.42578125" style="85" customWidth="1"/>
    <col min="4" max="4" width="14.85546875" style="85" customWidth="1"/>
    <col min="5" max="5" width="19" style="82" customWidth="1"/>
    <col min="6" max="7" width="11.42578125" style="85" bestFit="1" customWidth="1"/>
    <col min="8" max="8" width="27.7109375" style="85" customWidth="1"/>
    <col min="9" max="9" width="30.85546875" style="85" customWidth="1"/>
    <col min="10" max="10" width="30.140625" style="85" customWidth="1"/>
    <col min="11" max="11" width="16.140625" style="85" bestFit="1" customWidth="1"/>
    <col min="12" max="14" width="11.42578125" style="82" bestFit="1" customWidth="1"/>
    <col min="15" max="15" width="14.7109375" style="50" customWidth="1"/>
    <col min="16" max="16" width="10" style="50" customWidth="1"/>
    <col min="32" max="35" width="9.140625" style="85"/>
    <col min="36" max="36" width="19" style="85" hidden="1" customWidth="1"/>
    <col min="37" max="37" width="19.28515625" style="85" hidden="1" customWidth="1"/>
    <col min="38" max="38" width="0" style="85" hidden="1" customWidth="1"/>
    <col min="39" max="39" width="108.7109375" style="85" hidden="1" customWidth="1"/>
    <col min="40" max="40" width="122.140625" style="85" hidden="1" customWidth="1"/>
    <col min="41" max="41" width="117.42578125" style="85" hidden="1" customWidth="1"/>
    <col min="42" max="42" width="14.28515625" style="85" hidden="1" customWidth="1"/>
    <col min="43" max="43" width="12" style="85" hidden="1" customWidth="1"/>
    <col min="44" max="44" width="13.140625" style="85" hidden="1" customWidth="1"/>
    <col min="45" max="45" width="12" style="85" hidden="1" customWidth="1"/>
    <col min="46" max="46" width="12.85546875" style="85" hidden="1" customWidth="1"/>
    <col min="47" max="47" width="11.42578125" style="85" hidden="1" customWidth="1"/>
    <col min="48" max="48" width="13.85546875" style="85" hidden="1" customWidth="1"/>
    <col min="49" max="49" width="10.7109375" style="85" hidden="1" customWidth="1"/>
    <col min="50" max="50" width="10.42578125" style="85" hidden="1" customWidth="1"/>
    <col min="51" max="51" width="13.42578125" style="85" hidden="1" customWidth="1"/>
    <col min="52" max="52" width="7.85546875" style="85" hidden="1" customWidth="1"/>
    <col min="53" max="16384" width="9.140625" style="85"/>
  </cols>
  <sheetData>
    <row r="1" spans="1:52" s="63" customFormat="1" ht="45" x14ac:dyDescent="0.25">
      <c r="A1" s="63" t="s">
        <v>688</v>
      </c>
      <c r="B1" s="63" t="s">
        <v>689</v>
      </c>
      <c r="C1" s="63" t="s">
        <v>690</v>
      </c>
      <c r="D1" s="63" t="s">
        <v>143</v>
      </c>
      <c r="E1" s="93" t="s">
        <v>696</v>
      </c>
      <c r="F1" s="94" t="s">
        <v>691</v>
      </c>
      <c r="G1" s="94" t="s">
        <v>692</v>
      </c>
      <c r="H1" s="63" t="s">
        <v>464</v>
      </c>
      <c r="I1" s="63" t="s">
        <v>693</v>
      </c>
      <c r="J1" s="63" t="s">
        <v>694</v>
      </c>
      <c r="K1" s="63" t="s">
        <v>695</v>
      </c>
      <c r="L1" s="93" t="s">
        <v>697</v>
      </c>
      <c r="M1" s="93" t="s">
        <v>698</v>
      </c>
      <c r="N1" s="93" t="s">
        <v>699</v>
      </c>
      <c r="O1" s="63" t="s">
        <v>565</v>
      </c>
      <c r="P1" s="63" t="s">
        <v>566</v>
      </c>
      <c r="AJ1" s="63" t="s">
        <v>700</v>
      </c>
      <c r="AK1" s="63" t="s">
        <v>701</v>
      </c>
      <c r="AL1" s="63" t="s">
        <v>702</v>
      </c>
      <c r="AM1" s="63" t="s">
        <v>703</v>
      </c>
      <c r="AN1" s="63" t="s">
        <v>704</v>
      </c>
      <c r="AO1" s="63" t="s">
        <v>705</v>
      </c>
      <c r="AP1" s="63" t="s">
        <v>706</v>
      </c>
      <c r="AQ1" s="63" t="s">
        <v>707</v>
      </c>
      <c r="AR1" s="63" t="s">
        <v>708</v>
      </c>
      <c r="AS1" s="63" t="s">
        <v>709</v>
      </c>
      <c r="AT1" s="63" t="s">
        <v>710</v>
      </c>
      <c r="AU1" s="63" t="s">
        <v>711</v>
      </c>
      <c r="AV1" s="63" t="s">
        <v>712</v>
      </c>
      <c r="AW1" s="63" t="s">
        <v>713</v>
      </c>
      <c r="AX1" s="63" t="s">
        <v>714</v>
      </c>
      <c r="AY1" s="63" t="s">
        <v>715</v>
      </c>
      <c r="AZ1" s="63" t="s">
        <v>716</v>
      </c>
    </row>
    <row r="2" spans="1:52" x14ac:dyDescent="0.25">
      <c r="A2" s="38">
        <v>1</v>
      </c>
      <c r="B2" s="85" t="s">
        <v>717</v>
      </c>
      <c r="C2" s="85" t="s">
        <v>56</v>
      </c>
      <c r="D2" s="85" t="s">
        <v>144</v>
      </c>
      <c r="E2" s="82">
        <v>274.25079499999998</v>
      </c>
      <c r="F2" s="86" t="s">
        <v>718</v>
      </c>
      <c r="G2" s="87" t="s">
        <v>269</v>
      </c>
      <c r="H2" s="85" t="s">
        <v>433</v>
      </c>
      <c r="I2" s="85" t="s">
        <v>719</v>
      </c>
      <c r="J2" s="85" t="s">
        <v>720</v>
      </c>
      <c r="K2" s="85" t="s">
        <v>138</v>
      </c>
      <c r="L2" s="82">
        <v>133.08590000000001</v>
      </c>
      <c r="M2" s="82">
        <v>57.069899999999997</v>
      </c>
      <c r="N2" s="82">
        <v>177.1121</v>
      </c>
      <c r="O2" s="50">
        <v>4.6900000000000004</v>
      </c>
      <c r="P2" s="50">
        <v>4.22</v>
      </c>
      <c r="AJ2" s="85">
        <v>30</v>
      </c>
      <c r="AK2" s="85" t="s">
        <v>721</v>
      </c>
      <c r="AL2" s="85">
        <v>13.55</v>
      </c>
      <c r="AM2" s="85" t="s">
        <v>722</v>
      </c>
      <c r="AN2" s="85" t="s">
        <v>723</v>
      </c>
      <c r="AO2" s="85" t="s">
        <v>724</v>
      </c>
      <c r="AP2" s="85">
        <v>274.25079494800002</v>
      </c>
      <c r="AQ2" s="85">
        <v>275.25807140000001</v>
      </c>
      <c r="AR2" s="85">
        <v>292.28462050600001</v>
      </c>
      <c r="AS2" s="85">
        <v>297.24001602800001</v>
      </c>
      <c r="AT2" s="85">
        <v>273.24351849599998</v>
      </c>
      <c r="AU2" s="85">
        <v>76457</v>
      </c>
      <c r="AV2" s="85">
        <v>68929</v>
      </c>
      <c r="AW2" s="85">
        <v>-3.5392000000000001</v>
      </c>
      <c r="AX2" s="85">
        <v>5.0229999999999997</v>
      </c>
      <c r="AY2" s="85">
        <v>11.803800000000001</v>
      </c>
      <c r="AZ2" s="85" t="s">
        <v>1234</v>
      </c>
    </row>
    <row r="3" spans="1:52" x14ac:dyDescent="0.25">
      <c r="A3" s="38">
        <v>2</v>
      </c>
      <c r="B3" s="85" t="s">
        <v>725</v>
      </c>
      <c r="C3" s="85" t="s">
        <v>57</v>
      </c>
      <c r="D3" s="85" t="s">
        <v>145</v>
      </c>
      <c r="E3" s="82">
        <v>318.27701000000002</v>
      </c>
      <c r="F3" s="86" t="s">
        <v>726</v>
      </c>
      <c r="G3" s="87" t="s">
        <v>269</v>
      </c>
      <c r="H3" s="85" t="s">
        <v>434</v>
      </c>
      <c r="I3" s="85" t="s">
        <v>727</v>
      </c>
      <c r="J3" s="85" t="s">
        <v>728</v>
      </c>
      <c r="K3" s="85" t="s">
        <v>138</v>
      </c>
      <c r="L3" s="82">
        <v>133.08590000000001</v>
      </c>
      <c r="M3" s="82">
        <v>57.069899999999997</v>
      </c>
      <c r="N3" s="82">
        <v>177.1121</v>
      </c>
      <c r="O3" s="50">
        <v>4.33</v>
      </c>
      <c r="P3" s="50">
        <v>3.95</v>
      </c>
      <c r="AJ3" s="85">
        <v>30</v>
      </c>
      <c r="AK3" s="85" t="s">
        <v>721</v>
      </c>
      <c r="AL3" s="85">
        <v>13.55</v>
      </c>
      <c r="AM3" s="85" t="s">
        <v>722</v>
      </c>
      <c r="AN3" s="85" t="s">
        <v>723</v>
      </c>
      <c r="AO3" s="85" t="s">
        <v>724</v>
      </c>
      <c r="AP3" s="85">
        <v>318.27700969599999</v>
      </c>
      <c r="AQ3" s="85">
        <v>319.28428614799998</v>
      </c>
      <c r="AR3" s="85">
        <v>336.31083525399998</v>
      </c>
      <c r="AS3" s="85">
        <v>341.26623077599999</v>
      </c>
      <c r="AT3" s="85">
        <v>317.26973324400001</v>
      </c>
      <c r="AU3" s="85">
        <v>76458</v>
      </c>
      <c r="AV3" s="85">
        <v>68930</v>
      </c>
      <c r="AW3" s="85">
        <v>-3.6701000000000001</v>
      </c>
      <c r="AX3" s="85">
        <v>4.8330000000000002</v>
      </c>
      <c r="AY3" s="85">
        <v>11.4955</v>
      </c>
      <c r="AZ3" s="85" t="b">
        <v>1</v>
      </c>
    </row>
    <row r="4" spans="1:52" x14ac:dyDescent="0.25">
      <c r="A4" s="38">
        <v>3</v>
      </c>
      <c r="B4" s="85" t="s">
        <v>729</v>
      </c>
      <c r="C4" s="85" t="s">
        <v>58</v>
      </c>
      <c r="D4" s="85" t="s">
        <v>146</v>
      </c>
      <c r="E4" s="82">
        <v>362.303224</v>
      </c>
      <c r="F4" s="86" t="s">
        <v>730</v>
      </c>
      <c r="G4" s="87" t="s">
        <v>269</v>
      </c>
      <c r="H4" s="85" t="s">
        <v>435</v>
      </c>
      <c r="I4" s="85" t="s">
        <v>731</v>
      </c>
      <c r="J4" s="85" t="s">
        <v>732</v>
      </c>
      <c r="K4" s="85" t="s">
        <v>138</v>
      </c>
      <c r="L4" s="82">
        <v>133.08590000000001</v>
      </c>
      <c r="M4" s="82">
        <v>57.069899999999997</v>
      </c>
      <c r="N4" s="82">
        <v>177.1121</v>
      </c>
      <c r="O4" s="50">
        <v>3.97</v>
      </c>
      <c r="P4" s="50">
        <v>3.67</v>
      </c>
      <c r="AJ4" s="85">
        <v>30</v>
      </c>
      <c r="AK4" s="85" t="s">
        <v>721</v>
      </c>
      <c r="AL4" s="85">
        <v>13.55</v>
      </c>
      <c r="AM4" s="85" t="s">
        <v>722</v>
      </c>
      <c r="AN4" s="85" t="s">
        <v>723</v>
      </c>
      <c r="AO4" s="85" t="s">
        <v>724</v>
      </c>
      <c r="AP4" s="85">
        <v>362.30322444400002</v>
      </c>
      <c r="AQ4" s="85">
        <v>363.31050089600001</v>
      </c>
      <c r="AR4" s="85">
        <v>380.33705000200001</v>
      </c>
      <c r="AS4" s="85">
        <v>385.29244552400002</v>
      </c>
      <c r="AT4" s="85">
        <v>361.29594799199998</v>
      </c>
      <c r="AU4" s="85">
        <v>78933</v>
      </c>
      <c r="AV4" s="85">
        <v>71267</v>
      </c>
      <c r="AW4" s="85">
        <v>-3.8010000000000002</v>
      </c>
      <c r="AX4" s="85">
        <v>4.6429999999999998</v>
      </c>
      <c r="AY4" s="85">
        <v>11.1873</v>
      </c>
      <c r="AZ4" s="85" t="b">
        <v>1</v>
      </c>
    </row>
    <row r="5" spans="1:52" x14ac:dyDescent="0.25">
      <c r="A5" s="38">
        <v>4</v>
      </c>
      <c r="B5" s="85" t="s">
        <v>733</v>
      </c>
      <c r="C5" s="85" t="s">
        <v>59</v>
      </c>
      <c r="D5" s="85" t="s">
        <v>147</v>
      </c>
      <c r="E5" s="82">
        <v>406.32943899999998</v>
      </c>
      <c r="F5" s="86" t="s">
        <v>734</v>
      </c>
      <c r="G5" s="86" t="s">
        <v>735</v>
      </c>
      <c r="H5" s="85" t="s">
        <v>436</v>
      </c>
      <c r="I5" s="85" t="s">
        <v>736</v>
      </c>
      <c r="J5" s="85" t="s">
        <v>737</v>
      </c>
      <c r="K5" s="85" t="s">
        <v>138</v>
      </c>
      <c r="L5" s="82">
        <v>133.08590000000001</v>
      </c>
      <c r="M5" s="82">
        <v>57.069899999999997</v>
      </c>
      <c r="N5" s="82">
        <v>177.1121</v>
      </c>
      <c r="O5" s="50">
        <v>3.62</v>
      </c>
      <c r="P5" s="50">
        <v>3.4</v>
      </c>
      <c r="AJ5" s="85">
        <v>30</v>
      </c>
      <c r="AK5" s="85" t="s">
        <v>721</v>
      </c>
      <c r="AL5" s="85">
        <v>13.55</v>
      </c>
      <c r="AM5" s="85" t="s">
        <v>722</v>
      </c>
      <c r="AN5" s="85" t="s">
        <v>723</v>
      </c>
      <c r="AO5" s="85" t="s">
        <v>724</v>
      </c>
      <c r="AP5" s="85">
        <v>406.329439192</v>
      </c>
      <c r="AQ5" s="85">
        <v>407.33671564399998</v>
      </c>
      <c r="AR5" s="85">
        <v>424.36326474999998</v>
      </c>
      <c r="AS5" s="85">
        <v>429.31866027199999</v>
      </c>
      <c r="AT5" s="85">
        <v>405.32216274000001</v>
      </c>
      <c r="AU5" s="85">
        <v>18281</v>
      </c>
      <c r="AV5" s="85">
        <v>17268</v>
      </c>
      <c r="AW5" s="85">
        <v>-3.9319000000000002</v>
      </c>
      <c r="AX5" s="85">
        <v>4.4530000000000003</v>
      </c>
      <c r="AY5" s="85">
        <v>10.879</v>
      </c>
      <c r="AZ5" s="85" t="b">
        <v>1</v>
      </c>
    </row>
    <row r="6" spans="1:52" x14ac:dyDescent="0.25">
      <c r="A6" s="38">
        <v>5</v>
      </c>
      <c r="B6" s="85" t="s">
        <v>738</v>
      </c>
      <c r="C6" s="85" t="s">
        <v>60</v>
      </c>
      <c r="D6" s="85" t="s">
        <v>148</v>
      </c>
      <c r="E6" s="82">
        <v>450.35565400000002</v>
      </c>
      <c r="F6" s="86" t="s">
        <v>739</v>
      </c>
      <c r="G6" s="87" t="s">
        <v>269</v>
      </c>
      <c r="H6" s="85" t="s">
        <v>437</v>
      </c>
      <c r="I6" s="85" t="s">
        <v>740</v>
      </c>
      <c r="J6" s="85" t="s">
        <v>741</v>
      </c>
      <c r="K6" s="85" t="s">
        <v>138</v>
      </c>
      <c r="L6" s="82">
        <v>133.08590000000001</v>
      </c>
      <c r="M6" s="82">
        <v>57.069899999999997</v>
      </c>
      <c r="N6" s="82">
        <v>177.1121</v>
      </c>
      <c r="O6" s="50">
        <v>3.26</v>
      </c>
      <c r="P6" s="50">
        <v>3.12</v>
      </c>
      <c r="AJ6" s="85">
        <v>30</v>
      </c>
      <c r="AK6" s="85" t="s">
        <v>721</v>
      </c>
      <c r="AL6" s="85">
        <v>13.55</v>
      </c>
      <c r="AM6" s="85" t="s">
        <v>722</v>
      </c>
      <c r="AN6" s="85" t="s">
        <v>723</v>
      </c>
      <c r="AO6" s="85" t="s">
        <v>724</v>
      </c>
      <c r="AP6" s="85">
        <v>450.35565394000002</v>
      </c>
      <c r="AQ6" s="85">
        <v>451.36293039200001</v>
      </c>
      <c r="AR6" s="85">
        <v>468.38947949800001</v>
      </c>
      <c r="AS6" s="85">
        <v>473.34487502000002</v>
      </c>
      <c r="AT6" s="85">
        <v>449.34837748799998</v>
      </c>
      <c r="AU6" s="85">
        <v>18282</v>
      </c>
      <c r="AV6" s="85">
        <v>17269</v>
      </c>
      <c r="AW6" s="85">
        <v>-4.0628000000000002</v>
      </c>
      <c r="AX6" s="85">
        <v>4.2629999999999999</v>
      </c>
      <c r="AY6" s="85">
        <v>10.5707</v>
      </c>
      <c r="AZ6" s="85" t="b">
        <v>1</v>
      </c>
    </row>
    <row r="7" spans="1:52" x14ac:dyDescent="0.25">
      <c r="A7" s="38">
        <v>6</v>
      </c>
      <c r="B7" s="85" t="s">
        <v>742</v>
      </c>
      <c r="C7" s="85" t="s">
        <v>61</v>
      </c>
      <c r="D7" s="85" t="s">
        <v>149</v>
      </c>
      <c r="E7" s="82">
        <v>494.38186899999999</v>
      </c>
      <c r="F7" s="86" t="s">
        <v>743</v>
      </c>
      <c r="G7" s="86" t="s">
        <v>744</v>
      </c>
      <c r="H7" s="85" t="s">
        <v>438</v>
      </c>
      <c r="I7" s="85" t="s">
        <v>745</v>
      </c>
      <c r="J7" s="85" t="s">
        <v>746</v>
      </c>
      <c r="K7" s="85" t="s">
        <v>138</v>
      </c>
      <c r="L7" s="82">
        <v>133.08590000000001</v>
      </c>
      <c r="M7" s="82">
        <v>57.069899999999997</v>
      </c>
      <c r="N7" s="82">
        <v>177.1121</v>
      </c>
      <c r="O7" s="50">
        <v>2.9</v>
      </c>
      <c r="P7" s="50">
        <v>2.85</v>
      </c>
      <c r="AJ7" s="85">
        <v>30</v>
      </c>
      <c r="AK7" s="85" t="s">
        <v>721</v>
      </c>
      <c r="AL7" s="85">
        <v>13.55</v>
      </c>
      <c r="AM7" s="85" t="s">
        <v>722</v>
      </c>
      <c r="AN7" s="85" t="s">
        <v>723</v>
      </c>
      <c r="AO7" s="85" t="s">
        <v>724</v>
      </c>
      <c r="AP7" s="85">
        <v>494.381868688</v>
      </c>
      <c r="AQ7" s="85">
        <v>495.38914513999998</v>
      </c>
      <c r="AR7" s="85">
        <v>512.41569424600004</v>
      </c>
      <c r="AS7" s="85">
        <v>517.37108976800005</v>
      </c>
      <c r="AT7" s="85">
        <v>493.37459223600001</v>
      </c>
      <c r="AU7" s="85">
        <v>76459</v>
      </c>
      <c r="AV7" s="85">
        <v>68931</v>
      </c>
      <c r="AW7" s="85">
        <v>-4.1936999999999998</v>
      </c>
      <c r="AX7" s="85">
        <v>4.0730000000000004</v>
      </c>
      <c r="AY7" s="85">
        <v>10.2624</v>
      </c>
      <c r="AZ7" s="85" t="b">
        <v>1</v>
      </c>
    </row>
    <row r="8" spans="1:52" x14ac:dyDescent="0.25">
      <c r="A8" s="38">
        <v>7</v>
      </c>
      <c r="B8" s="85" t="s">
        <v>747</v>
      </c>
      <c r="C8" s="85" t="s">
        <v>62</v>
      </c>
      <c r="D8" s="85" t="s">
        <v>150</v>
      </c>
      <c r="E8" s="82">
        <v>538.40808300000003</v>
      </c>
      <c r="F8" s="86" t="s">
        <v>748</v>
      </c>
      <c r="G8" s="87" t="s">
        <v>269</v>
      </c>
      <c r="H8" s="85" t="s">
        <v>439</v>
      </c>
      <c r="I8" s="85" t="s">
        <v>749</v>
      </c>
      <c r="J8" s="85" t="s">
        <v>750</v>
      </c>
      <c r="K8" s="85" t="s">
        <v>138</v>
      </c>
      <c r="L8" s="82">
        <v>133.08590000000001</v>
      </c>
      <c r="M8" s="82">
        <v>57.069899999999997</v>
      </c>
      <c r="N8" s="82">
        <v>177.1121</v>
      </c>
      <c r="O8" s="50">
        <v>2.54</v>
      </c>
      <c r="P8" s="50">
        <v>2.57</v>
      </c>
      <c r="AJ8" s="85">
        <v>30</v>
      </c>
      <c r="AK8" s="85" t="s">
        <v>721</v>
      </c>
      <c r="AL8" s="85">
        <v>13.55</v>
      </c>
      <c r="AM8" s="85" t="s">
        <v>722</v>
      </c>
      <c r="AN8" s="85" t="s">
        <v>723</v>
      </c>
      <c r="AO8" s="85" t="s">
        <v>724</v>
      </c>
      <c r="AP8" s="85">
        <v>538.40808343599997</v>
      </c>
      <c r="AQ8" s="85">
        <v>539.41535988800001</v>
      </c>
      <c r="AR8" s="85">
        <v>556.44190899399996</v>
      </c>
      <c r="AS8" s="85">
        <v>561.39730451599996</v>
      </c>
      <c r="AT8" s="85">
        <v>537.40080698400004</v>
      </c>
      <c r="AU8" s="85">
        <v>123921</v>
      </c>
      <c r="AV8" s="85">
        <v>110452</v>
      </c>
      <c r="AW8" s="85">
        <v>-4.3246000000000002</v>
      </c>
      <c r="AX8" s="85">
        <v>3.883</v>
      </c>
      <c r="AY8" s="85">
        <v>9.9542000000000002</v>
      </c>
      <c r="AZ8" s="85" t="b">
        <v>1</v>
      </c>
    </row>
    <row r="9" spans="1:52" x14ac:dyDescent="0.25">
      <c r="A9" s="38">
        <v>8</v>
      </c>
      <c r="B9" s="85" t="s">
        <v>751</v>
      </c>
      <c r="C9" s="85" t="s">
        <v>63</v>
      </c>
      <c r="D9" s="85" t="s">
        <v>151</v>
      </c>
      <c r="E9" s="82">
        <v>582.43429800000001</v>
      </c>
      <c r="F9" s="86" t="s">
        <v>752</v>
      </c>
      <c r="G9" s="86" t="s">
        <v>753</v>
      </c>
      <c r="H9" s="85" t="s">
        <v>440</v>
      </c>
      <c r="I9" s="85" t="s">
        <v>754</v>
      </c>
      <c r="J9" s="85" t="s">
        <v>755</v>
      </c>
      <c r="K9" s="85" t="s">
        <v>138</v>
      </c>
      <c r="L9" s="82">
        <v>133.08590000000001</v>
      </c>
      <c r="M9" s="82">
        <v>57.069899999999997</v>
      </c>
      <c r="N9" s="82">
        <v>177.1121</v>
      </c>
      <c r="O9" s="50">
        <v>2.1800000000000002</v>
      </c>
      <c r="P9" s="50">
        <v>2.2999999999999998</v>
      </c>
      <c r="AJ9" s="85">
        <v>30</v>
      </c>
      <c r="AK9" s="85" t="s">
        <v>721</v>
      </c>
      <c r="AL9" s="85">
        <v>13.55</v>
      </c>
      <c r="AM9" s="85" t="s">
        <v>722</v>
      </c>
      <c r="AN9" s="85" t="s">
        <v>723</v>
      </c>
      <c r="AO9" s="85" t="s">
        <v>724</v>
      </c>
      <c r="AP9" s="85">
        <v>582.434298184</v>
      </c>
      <c r="AQ9" s="85">
        <v>583.44157463600004</v>
      </c>
      <c r="AR9" s="85">
        <v>600.46812374199999</v>
      </c>
      <c r="AS9" s="85">
        <v>605.42351926399999</v>
      </c>
      <c r="AT9" s="85">
        <v>581.42702173199996</v>
      </c>
      <c r="AU9" s="85">
        <v>656641</v>
      </c>
      <c r="AV9" s="85">
        <v>570993</v>
      </c>
      <c r="AW9" s="85">
        <v>-4.4554999999999998</v>
      </c>
      <c r="AX9" s="85">
        <v>3.6930000000000001</v>
      </c>
      <c r="AY9" s="85">
        <v>9.6458999999999993</v>
      </c>
      <c r="AZ9" s="85" t="b">
        <v>1</v>
      </c>
    </row>
    <row r="10" spans="1:52" x14ac:dyDescent="0.25">
      <c r="A10" s="38">
        <v>9</v>
      </c>
      <c r="B10" s="85" t="s">
        <v>756</v>
      </c>
      <c r="C10" s="85" t="s">
        <v>64</v>
      </c>
      <c r="D10" s="85" t="s">
        <v>152</v>
      </c>
      <c r="E10" s="82">
        <v>626.46051299999999</v>
      </c>
      <c r="F10" s="86" t="s">
        <v>757</v>
      </c>
      <c r="G10" s="87" t="s">
        <v>269</v>
      </c>
      <c r="H10" s="85" t="s">
        <v>441</v>
      </c>
      <c r="I10" s="85" t="s">
        <v>758</v>
      </c>
      <c r="J10" s="85" t="s">
        <v>759</v>
      </c>
      <c r="K10" s="85" t="s">
        <v>138</v>
      </c>
      <c r="L10" s="82">
        <v>133.08590000000001</v>
      </c>
      <c r="M10" s="82">
        <v>57.069899999999997</v>
      </c>
      <c r="N10" s="82">
        <v>177.1121</v>
      </c>
      <c r="O10" s="50">
        <v>1.82</v>
      </c>
      <c r="P10" s="50">
        <v>2.0299999999999998</v>
      </c>
      <c r="AJ10" s="85">
        <v>30</v>
      </c>
      <c r="AK10" s="85" t="s">
        <v>721</v>
      </c>
      <c r="AL10" s="85">
        <v>13.5</v>
      </c>
      <c r="AM10" s="85" t="s">
        <v>722</v>
      </c>
      <c r="AN10" s="85" t="s">
        <v>723</v>
      </c>
      <c r="AO10" s="85" t="s">
        <v>724</v>
      </c>
      <c r="AP10" s="85">
        <v>626.46051293200003</v>
      </c>
      <c r="AQ10" s="85">
        <v>627.46778938399996</v>
      </c>
      <c r="AR10" s="85">
        <v>644.49433849000002</v>
      </c>
      <c r="AS10" s="85">
        <v>649.44973401200002</v>
      </c>
      <c r="AT10" s="85">
        <v>625.45323647999999</v>
      </c>
      <c r="AU10" s="85">
        <v>145870</v>
      </c>
      <c r="AV10" s="85">
        <v>128683</v>
      </c>
      <c r="AW10" s="85">
        <v>-4.5864000000000003</v>
      </c>
      <c r="AX10" s="85">
        <v>3.5030000000000001</v>
      </c>
      <c r="AY10" s="85">
        <v>9.3376000000000001</v>
      </c>
      <c r="AZ10" s="85" t="b">
        <v>1</v>
      </c>
    </row>
    <row r="11" spans="1:52" x14ac:dyDescent="0.25">
      <c r="A11" s="38">
        <v>10</v>
      </c>
      <c r="B11" s="85" t="s">
        <v>760</v>
      </c>
      <c r="C11" s="85" t="s">
        <v>65</v>
      </c>
      <c r="D11" s="85" t="s">
        <v>153</v>
      </c>
      <c r="E11" s="82">
        <v>670.48672799999997</v>
      </c>
      <c r="F11" s="86" t="s">
        <v>761</v>
      </c>
      <c r="G11" s="86" t="s">
        <v>761</v>
      </c>
      <c r="H11" s="85" t="s">
        <v>442</v>
      </c>
      <c r="I11" s="85" t="s">
        <v>762</v>
      </c>
      <c r="J11" s="85" t="s">
        <v>763</v>
      </c>
      <c r="K11" s="85" t="s">
        <v>138</v>
      </c>
      <c r="L11" s="82">
        <v>133.08590000000001</v>
      </c>
      <c r="M11" s="82">
        <v>57.069899999999997</v>
      </c>
      <c r="N11" s="82">
        <v>177.1121</v>
      </c>
      <c r="O11" s="50" t="s">
        <v>564</v>
      </c>
      <c r="P11" s="50">
        <v>1.75</v>
      </c>
      <c r="AJ11" s="85">
        <v>30</v>
      </c>
      <c r="AK11" s="85" t="s">
        <v>721</v>
      </c>
      <c r="AL11" s="85">
        <v>13.5</v>
      </c>
      <c r="AM11" s="85" t="s">
        <v>722</v>
      </c>
      <c r="AN11" s="85" t="s">
        <v>723</v>
      </c>
      <c r="AO11" s="85" t="s">
        <v>724</v>
      </c>
      <c r="AP11" s="85">
        <v>670.48672767999994</v>
      </c>
      <c r="AQ11" s="85">
        <v>671.49400413199999</v>
      </c>
      <c r="AR11" s="85">
        <v>688.52055323800005</v>
      </c>
      <c r="AS11" s="85">
        <v>693.47594876000005</v>
      </c>
      <c r="AT11" s="85">
        <v>669.47945122800002</v>
      </c>
      <c r="AU11" s="85">
        <v>14973981</v>
      </c>
      <c r="AV11" s="85">
        <v>26538227</v>
      </c>
      <c r="AW11" s="85">
        <v>-4.7172999999999998</v>
      </c>
      <c r="AX11" s="85">
        <v>3.3130000000000002</v>
      </c>
      <c r="AY11" s="85">
        <v>9.0292999999999992</v>
      </c>
      <c r="AZ11" s="85" t="b">
        <v>1</v>
      </c>
    </row>
    <row r="12" spans="1:52" x14ac:dyDescent="0.25">
      <c r="A12" s="38">
        <v>11</v>
      </c>
      <c r="B12" s="85" t="s">
        <v>764</v>
      </c>
      <c r="C12" s="85" t="s">
        <v>66</v>
      </c>
      <c r="D12" s="85" t="s">
        <v>154</v>
      </c>
      <c r="E12" s="82">
        <v>714.51294199999995</v>
      </c>
      <c r="F12" s="86" t="s">
        <v>765</v>
      </c>
      <c r="G12" s="86" t="s">
        <v>766</v>
      </c>
      <c r="H12" s="85" t="s">
        <v>443</v>
      </c>
      <c r="I12" s="85" t="s">
        <v>767</v>
      </c>
      <c r="J12" s="85" t="s">
        <v>768</v>
      </c>
      <c r="K12" s="85" t="s">
        <v>138</v>
      </c>
      <c r="L12" s="82">
        <v>133.08590000000001</v>
      </c>
      <c r="M12" s="82">
        <v>57.069899999999997</v>
      </c>
      <c r="N12" s="82">
        <v>177.1121</v>
      </c>
      <c r="O12" s="50">
        <v>1.1100000000000001</v>
      </c>
      <c r="P12" s="50">
        <v>1.48</v>
      </c>
      <c r="AJ12" s="85">
        <v>30</v>
      </c>
      <c r="AK12" s="85" t="s">
        <v>721</v>
      </c>
      <c r="AL12" s="85">
        <v>13.5</v>
      </c>
      <c r="AM12" s="85" t="s">
        <v>722</v>
      </c>
      <c r="AN12" s="85" t="s">
        <v>723</v>
      </c>
      <c r="AO12" s="85" t="s">
        <v>724</v>
      </c>
      <c r="AP12" s="85">
        <v>714.51294242799997</v>
      </c>
      <c r="AQ12" s="85">
        <v>715.52021888000002</v>
      </c>
      <c r="AR12" s="85">
        <v>732.54676798599996</v>
      </c>
      <c r="AS12" s="85">
        <v>737.50216350799997</v>
      </c>
      <c r="AT12" s="85">
        <v>713.50566597600005</v>
      </c>
      <c r="AU12" s="85">
        <v>76460</v>
      </c>
      <c r="AV12" s="85">
        <v>68932</v>
      </c>
      <c r="AW12" s="85">
        <v>-4.8482000000000003</v>
      </c>
      <c r="AX12" s="85">
        <v>3.1230000000000002</v>
      </c>
      <c r="AY12" s="85">
        <v>8.7210999999999999</v>
      </c>
      <c r="AZ12" s="85" t="b">
        <v>1</v>
      </c>
    </row>
    <row r="13" spans="1:52" x14ac:dyDescent="0.25">
      <c r="A13" s="38">
        <v>12</v>
      </c>
      <c r="B13" s="85" t="s">
        <v>769</v>
      </c>
      <c r="C13" s="85" t="s">
        <v>67</v>
      </c>
      <c r="D13" s="85" t="s">
        <v>155</v>
      </c>
      <c r="E13" s="82">
        <v>758.53915700000005</v>
      </c>
      <c r="F13" s="86" t="s">
        <v>269</v>
      </c>
      <c r="G13" s="87" t="s">
        <v>269</v>
      </c>
      <c r="H13" s="85" t="s">
        <v>444</v>
      </c>
      <c r="I13" s="85" t="s">
        <v>770</v>
      </c>
      <c r="J13" s="85" t="s">
        <v>771</v>
      </c>
      <c r="K13" s="85" t="s">
        <v>138</v>
      </c>
      <c r="L13" s="82">
        <v>133.08590000000001</v>
      </c>
      <c r="M13" s="82">
        <v>57.069899999999997</v>
      </c>
      <c r="N13" s="82">
        <v>177.1121</v>
      </c>
      <c r="O13" s="50" t="s">
        <v>564</v>
      </c>
      <c r="P13" s="50">
        <v>1.2</v>
      </c>
      <c r="AJ13" s="85">
        <v>30</v>
      </c>
      <c r="AK13" s="85" t="s">
        <v>721</v>
      </c>
      <c r="AL13" s="85">
        <v>13.5</v>
      </c>
      <c r="AM13" s="85" t="s">
        <v>722</v>
      </c>
      <c r="AN13" s="85" t="s">
        <v>723</v>
      </c>
      <c r="AO13" s="85" t="s">
        <v>724</v>
      </c>
      <c r="AP13" s="85">
        <v>758.539157176</v>
      </c>
      <c r="AQ13" s="85">
        <v>759.54643362800005</v>
      </c>
      <c r="AR13" s="85">
        <v>776.57298273399999</v>
      </c>
      <c r="AS13" s="85">
        <v>781.528378256</v>
      </c>
      <c r="AT13" s="85">
        <v>757.53188072399996</v>
      </c>
      <c r="AU13" s="85">
        <v>14973982</v>
      </c>
      <c r="AV13" s="85" t="s">
        <v>564</v>
      </c>
      <c r="AW13" s="85">
        <v>-4.9790999999999999</v>
      </c>
      <c r="AX13" s="85">
        <v>2.9329999999999998</v>
      </c>
      <c r="AY13" s="85">
        <v>8.4128000000000007</v>
      </c>
      <c r="AZ13" s="85" t="b">
        <v>1</v>
      </c>
    </row>
    <row r="14" spans="1:52" x14ac:dyDescent="0.25">
      <c r="A14" s="38">
        <v>13</v>
      </c>
      <c r="B14" s="85" t="s">
        <v>772</v>
      </c>
      <c r="C14" s="85" t="s">
        <v>68</v>
      </c>
      <c r="D14" s="85" t="s">
        <v>156</v>
      </c>
      <c r="E14" s="82">
        <v>802.56537200000002</v>
      </c>
      <c r="F14" s="86" t="s">
        <v>269</v>
      </c>
      <c r="G14" s="87" t="s">
        <v>269</v>
      </c>
      <c r="H14" s="85" t="s">
        <v>445</v>
      </c>
      <c r="I14" s="85" t="s">
        <v>773</v>
      </c>
      <c r="J14" s="85" t="s">
        <v>774</v>
      </c>
      <c r="K14" s="85" t="s">
        <v>138</v>
      </c>
      <c r="L14" s="82">
        <v>133.08590000000001</v>
      </c>
      <c r="M14" s="82">
        <v>57.069899999999997</v>
      </c>
      <c r="N14" s="82">
        <v>177.1121</v>
      </c>
      <c r="O14" s="50">
        <v>0.22</v>
      </c>
      <c r="P14" s="50">
        <v>1.1399999999999999</v>
      </c>
      <c r="AJ14" s="85">
        <v>30</v>
      </c>
      <c r="AK14" s="85" t="s">
        <v>721</v>
      </c>
      <c r="AL14" s="85">
        <v>13.5</v>
      </c>
      <c r="AM14" s="85" t="s">
        <v>722</v>
      </c>
      <c r="AN14" s="85" t="s">
        <v>723</v>
      </c>
      <c r="AO14" s="85" t="s">
        <v>724</v>
      </c>
      <c r="AP14" s="85">
        <v>802.56537192400003</v>
      </c>
      <c r="AQ14" s="85">
        <v>803.57264837599996</v>
      </c>
      <c r="AR14" s="85">
        <v>820.59919748200002</v>
      </c>
      <c r="AS14" s="85">
        <v>825.55459300400003</v>
      </c>
      <c r="AT14" s="85">
        <v>801.55809547199999</v>
      </c>
      <c r="AU14" s="85">
        <v>10747932</v>
      </c>
      <c r="AV14" s="85">
        <v>8923258</v>
      </c>
      <c r="AW14" s="85">
        <v>-4.1649000000000003</v>
      </c>
      <c r="AX14" s="85">
        <v>2.3359999999999999</v>
      </c>
      <c r="AY14" s="85">
        <v>7.4442000000000004</v>
      </c>
      <c r="AZ14" s="85" t="b">
        <v>1</v>
      </c>
    </row>
    <row r="15" spans="1:52" x14ac:dyDescent="0.25">
      <c r="A15" s="38">
        <v>14</v>
      </c>
      <c r="B15" s="85" t="s">
        <v>775</v>
      </c>
      <c r="C15" s="85" t="s">
        <v>69</v>
      </c>
      <c r="D15" s="85" t="s">
        <v>157</v>
      </c>
      <c r="E15" s="82">
        <v>846.591587</v>
      </c>
      <c r="F15" s="86" t="s">
        <v>269</v>
      </c>
      <c r="G15" s="87" t="s">
        <v>269</v>
      </c>
      <c r="H15" s="85" t="s">
        <v>446</v>
      </c>
      <c r="I15" s="85" t="s">
        <v>776</v>
      </c>
      <c r="J15" s="85" t="s">
        <v>777</v>
      </c>
      <c r="K15" s="85" t="s">
        <v>138</v>
      </c>
      <c r="L15" s="82">
        <v>133.08590000000001</v>
      </c>
      <c r="M15" s="82">
        <v>57.069899999999997</v>
      </c>
      <c r="N15" s="82">
        <v>177.1121</v>
      </c>
      <c r="O15" s="50" t="s">
        <v>564</v>
      </c>
      <c r="P15" s="50">
        <v>0.65</v>
      </c>
      <c r="AJ15" s="85">
        <v>30</v>
      </c>
      <c r="AK15" s="85" t="s">
        <v>721</v>
      </c>
      <c r="AL15" s="85">
        <v>13.5</v>
      </c>
      <c r="AM15" s="85" t="s">
        <v>722</v>
      </c>
      <c r="AN15" s="85" t="s">
        <v>723</v>
      </c>
      <c r="AO15" s="85" t="s">
        <v>724</v>
      </c>
      <c r="AP15" s="85">
        <v>846.59158667199995</v>
      </c>
      <c r="AQ15" s="85">
        <v>847.59886312399999</v>
      </c>
      <c r="AR15" s="85">
        <v>864.62541223000005</v>
      </c>
      <c r="AS15" s="85">
        <v>869.58080775200006</v>
      </c>
      <c r="AT15" s="85">
        <v>845.58431022000002</v>
      </c>
      <c r="AU15" s="85">
        <v>12959475</v>
      </c>
      <c r="AV15" s="85" t="s">
        <v>564</v>
      </c>
      <c r="AW15" s="85">
        <v>-5.2408999999999999</v>
      </c>
      <c r="AX15" s="85">
        <v>2.5529999999999999</v>
      </c>
      <c r="AY15" s="85">
        <v>7.7961999999999998</v>
      </c>
      <c r="AZ15" s="85" t="b">
        <v>1</v>
      </c>
    </row>
    <row r="16" spans="1:52" x14ac:dyDescent="0.25">
      <c r="A16" s="38">
        <v>15</v>
      </c>
      <c r="B16" s="85" t="s">
        <v>778</v>
      </c>
      <c r="C16" s="85" t="s">
        <v>70</v>
      </c>
      <c r="D16" s="85" t="s">
        <v>158</v>
      </c>
      <c r="E16" s="82">
        <v>890.61780099999999</v>
      </c>
      <c r="F16" s="86" t="s">
        <v>779</v>
      </c>
      <c r="G16" s="87" t="s">
        <v>269</v>
      </c>
      <c r="H16" s="85" t="s">
        <v>447</v>
      </c>
      <c r="I16" s="85" t="s">
        <v>780</v>
      </c>
      <c r="J16" s="85" t="s">
        <v>781</v>
      </c>
      <c r="K16" s="85" t="s">
        <v>138</v>
      </c>
      <c r="L16" s="82">
        <v>133.08590000000001</v>
      </c>
      <c r="M16" s="82">
        <v>57.069899999999997</v>
      </c>
      <c r="N16" s="82">
        <v>177.1121</v>
      </c>
      <c r="O16" s="50">
        <v>-0.32</v>
      </c>
      <c r="P16" s="50">
        <v>0.38</v>
      </c>
      <c r="AJ16" s="85">
        <v>30</v>
      </c>
      <c r="AK16" s="85" t="s">
        <v>721</v>
      </c>
      <c r="AL16" s="85">
        <v>13.5</v>
      </c>
      <c r="AM16" s="85" t="s">
        <v>722</v>
      </c>
      <c r="AN16" s="85" t="s">
        <v>723</v>
      </c>
      <c r="AO16" s="85" t="s">
        <v>724</v>
      </c>
      <c r="AP16" s="85">
        <v>890.61780141999998</v>
      </c>
      <c r="AQ16" s="85">
        <v>891.62507787200002</v>
      </c>
      <c r="AR16" s="85">
        <v>908.65162697799997</v>
      </c>
      <c r="AS16" s="85">
        <v>913.60702249999997</v>
      </c>
      <c r="AT16" s="85">
        <v>889.61052496800005</v>
      </c>
      <c r="AU16" s="85">
        <v>9832723</v>
      </c>
      <c r="AV16" s="85">
        <v>8008451</v>
      </c>
      <c r="AW16" s="85">
        <v>-5.3718000000000004</v>
      </c>
      <c r="AX16" s="85">
        <v>2.363</v>
      </c>
      <c r="AY16" s="85">
        <v>7.4880000000000004</v>
      </c>
      <c r="AZ16" s="85" t="b">
        <v>1</v>
      </c>
    </row>
    <row r="17" spans="1:52" x14ac:dyDescent="0.25">
      <c r="A17" s="38">
        <v>16</v>
      </c>
      <c r="B17" s="85" t="s">
        <v>782</v>
      </c>
      <c r="C17" s="85" t="s">
        <v>71</v>
      </c>
      <c r="D17" s="85" t="s">
        <v>159</v>
      </c>
      <c r="E17" s="82">
        <v>934.64401599999997</v>
      </c>
      <c r="F17" s="86" t="s">
        <v>269</v>
      </c>
      <c r="G17" s="87" t="s">
        <v>269</v>
      </c>
      <c r="H17" s="85" t="s">
        <v>448</v>
      </c>
      <c r="I17" s="85" t="s">
        <v>783</v>
      </c>
      <c r="J17" s="85" t="s">
        <v>784</v>
      </c>
      <c r="K17" s="85" t="s">
        <v>138</v>
      </c>
      <c r="L17" s="82">
        <v>133.08590000000001</v>
      </c>
      <c r="M17" s="82">
        <v>57.069899999999997</v>
      </c>
      <c r="N17" s="82">
        <v>177.1121</v>
      </c>
      <c r="O17" s="50" t="s">
        <v>564</v>
      </c>
      <c r="P17" s="50">
        <v>0.11</v>
      </c>
      <c r="AJ17" s="85">
        <v>30</v>
      </c>
      <c r="AK17" s="85" t="s">
        <v>721</v>
      </c>
      <c r="AL17" s="85">
        <v>13.45</v>
      </c>
      <c r="AM17" s="85" t="s">
        <v>722</v>
      </c>
      <c r="AN17" s="85" t="s">
        <v>723</v>
      </c>
      <c r="AO17" s="85" t="s">
        <v>724</v>
      </c>
      <c r="AP17" s="85">
        <v>934.64401616800001</v>
      </c>
      <c r="AQ17" s="85">
        <v>935.65129262000005</v>
      </c>
      <c r="AR17" s="85">
        <v>952.677841726</v>
      </c>
      <c r="AS17" s="85">
        <v>957.633237248</v>
      </c>
      <c r="AT17" s="85">
        <v>933.63673971599997</v>
      </c>
      <c r="AU17" s="85">
        <v>14973984</v>
      </c>
      <c r="AV17" s="85" t="s">
        <v>564</v>
      </c>
      <c r="AW17" s="85">
        <v>-5.5026999999999999</v>
      </c>
      <c r="AX17" s="85">
        <v>2.173</v>
      </c>
      <c r="AY17" s="85">
        <v>7.1797000000000004</v>
      </c>
      <c r="AZ17" s="85" t="b">
        <v>1</v>
      </c>
    </row>
    <row r="18" spans="1:52" x14ac:dyDescent="0.25">
      <c r="A18" s="38">
        <v>17</v>
      </c>
      <c r="B18" s="85" t="s">
        <v>785</v>
      </c>
      <c r="C18" s="85" t="s">
        <v>72</v>
      </c>
      <c r="D18" s="85" t="s">
        <v>160</v>
      </c>
      <c r="E18" s="82">
        <v>978.67023099999994</v>
      </c>
      <c r="F18" s="86" t="s">
        <v>269</v>
      </c>
      <c r="G18" s="87" t="s">
        <v>269</v>
      </c>
      <c r="H18" s="85" t="s">
        <v>449</v>
      </c>
      <c r="I18" s="85" t="s">
        <v>786</v>
      </c>
      <c r="J18" s="85" t="s">
        <v>787</v>
      </c>
      <c r="K18" s="85" t="s">
        <v>138</v>
      </c>
      <c r="L18" s="82">
        <v>133.08590000000001</v>
      </c>
      <c r="M18" s="82">
        <v>57.069899999999997</v>
      </c>
      <c r="N18" s="82">
        <v>177.1121</v>
      </c>
      <c r="O18" s="50" t="s">
        <v>564</v>
      </c>
      <c r="P18" s="50">
        <v>-0.17</v>
      </c>
      <c r="AJ18" s="85">
        <v>30</v>
      </c>
      <c r="AK18" s="85" t="s">
        <v>721</v>
      </c>
      <c r="AL18" s="85">
        <v>13.45</v>
      </c>
      <c r="AM18" s="85" t="s">
        <v>722</v>
      </c>
      <c r="AN18" s="85" t="s">
        <v>723</v>
      </c>
      <c r="AO18" s="85" t="s">
        <v>724</v>
      </c>
      <c r="AP18" s="85">
        <v>978.67023091600004</v>
      </c>
      <c r="AQ18" s="85">
        <v>979.67750736799997</v>
      </c>
      <c r="AR18" s="85">
        <v>996.70405647400003</v>
      </c>
      <c r="AS18" s="85">
        <v>1001.659451996</v>
      </c>
      <c r="AT18" s="85">
        <v>977.66295446399999</v>
      </c>
      <c r="AU18" s="85">
        <v>14973985</v>
      </c>
      <c r="AV18" s="85" t="s">
        <v>564</v>
      </c>
      <c r="AW18" s="85">
        <v>-5.6336000000000004</v>
      </c>
      <c r="AX18" s="85">
        <v>1.9830000000000001</v>
      </c>
      <c r="AY18" s="85">
        <v>6.8714000000000004</v>
      </c>
      <c r="AZ18" s="85" t="b">
        <v>1</v>
      </c>
    </row>
    <row r="19" spans="1:52" x14ac:dyDescent="0.25">
      <c r="A19" s="38">
        <v>18</v>
      </c>
      <c r="B19" s="85" t="s">
        <v>788</v>
      </c>
      <c r="C19" s="85" t="s">
        <v>73</v>
      </c>
      <c r="D19" s="85" t="s">
        <v>161</v>
      </c>
      <c r="E19" s="82">
        <v>194.11542370000001</v>
      </c>
      <c r="F19" s="86" t="s">
        <v>789</v>
      </c>
      <c r="G19" s="87" t="s">
        <v>269</v>
      </c>
      <c r="H19" s="85" t="s">
        <v>450</v>
      </c>
      <c r="I19" s="85" t="s">
        <v>790</v>
      </c>
      <c r="J19" s="85" t="s">
        <v>791</v>
      </c>
      <c r="K19" s="85" t="s">
        <v>138</v>
      </c>
      <c r="L19" s="82">
        <v>45.033799999999999</v>
      </c>
      <c r="M19" s="82">
        <v>89.059600000000003</v>
      </c>
      <c r="N19" s="82">
        <v>133.0847</v>
      </c>
      <c r="O19" s="50">
        <v>-2.33</v>
      </c>
      <c r="P19" s="50">
        <v>-2.02</v>
      </c>
      <c r="AJ19" s="85">
        <v>25</v>
      </c>
      <c r="AK19" s="85" t="s">
        <v>721</v>
      </c>
      <c r="AL19" s="85">
        <v>4.1900000000000004</v>
      </c>
      <c r="AM19" s="85" t="s">
        <v>722</v>
      </c>
      <c r="AN19" s="85" t="s">
        <v>723</v>
      </c>
      <c r="AO19" s="85" t="s">
        <v>724</v>
      </c>
      <c r="AP19" s="85">
        <v>194.11542367600001</v>
      </c>
      <c r="AQ19" s="85">
        <v>195.12270012799999</v>
      </c>
      <c r="AR19" s="85">
        <v>212.149249234</v>
      </c>
      <c r="AS19" s="85">
        <v>217.104644756</v>
      </c>
      <c r="AT19" s="85">
        <v>193.10814722399999</v>
      </c>
      <c r="AU19" s="85">
        <v>8200</v>
      </c>
      <c r="AV19" s="85">
        <v>7908</v>
      </c>
      <c r="AW19" s="85">
        <v>-1.2901</v>
      </c>
      <c r="AX19" s="85">
        <v>-1.778</v>
      </c>
      <c r="AY19" s="85">
        <v>0.76919999999999999</v>
      </c>
      <c r="AZ19" s="85" t="b">
        <v>1</v>
      </c>
    </row>
    <row r="20" spans="1:52" x14ac:dyDescent="0.25">
      <c r="A20" s="38">
        <v>19</v>
      </c>
      <c r="B20" s="85" t="s">
        <v>792</v>
      </c>
      <c r="C20" s="85" t="s">
        <v>74</v>
      </c>
      <c r="D20" s="85" t="s">
        <v>162</v>
      </c>
      <c r="E20" s="82">
        <v>238.14163840000001</v>
      </c>
      <c r="F20" s="86" t="s">
        <v>793</v>
      </c>
      <c r="G20" s="87" t="s">
        <v>269</v>
      </c>
      <c r="H20" s="85" t="s">
        <v>451</v>
      </c>
      <c r="I20" s="85" t="s">
        <v>794</v>
      </c>
      <c r="J20" s="85" t="s">
        <v>795</v>
      </c>
      <c r="K20" s="85" t="s">
        <v>138</v>
      </c>
      <c r="L20" s="82">
        <v>45.033799999999999</v>
      </c>
      <c r="M20" s="82">
        <v>89.059600000000003</v>
      </c>
      <c r="N20" s="82">
        <v>133.0847</v>
      </c>
      <c r="O20" s="50">
        <v>-2.59</v>
      </c>
      <c r="P20" s="50">
        <v>-2.2999999999999998</v>
      </c>
      <c r="AJ20" s="85">
        <v>25</v>
      </c>
      <c r="AK20" s="85" t="s">
        <v>721</v>
      </c>
      <c r="AL20" s="85">
        <v>4.8</v>
      </c>
      <c r="AM20" s="85" t="s">
        <v>722</v>
      </c>
      <c r="AN20" s="85" t="s">
        <v>723</v>
      </c>
      <c r="AO20" s="85" t="s">
        <v>724</v>
      </c>
      <c r="AP20" s="85">
        <v>238.14163842400001</v>
      </c>
      <c r="AQ20" s="85">
        <v>239.14891487599999</v>
      </c>
      <c r="AR20" s="85">
        <v>256.175463982</v>
      </c>
      <c r="AS20" s="85">
        <v>261.130859504</v>
      </c>
      <c r="AT20" s="85">
        <v>237.13436197199999</v>
      </c>
      <c r="AU20" s="85">
        <v>62551</v>
      </c>
      <c r="AV20" s="85">
        <v>56318</v>
      </c>
      <c r="AW20" s="85">
        <v>-1.421</v>
      </c>
      <c r="AX20" s="85">
        <v>-1.968</v>
      </c>
      <c r="AY20" s="85">
        <v>0.46089999999999998</v>
      </c>
      <c r="AZ20" s="85" t="b">
        <v>1</v>
      </c>
    </row>
    <row r="21" spans="1:52" x14ac:dyDescent="0.25">
      <c r="A21" s="38">
        <v>20</v>
      </c>
      <c r="B21" s="85" t="s">
        <v>796</v>
      </c>
      <c r="C21" s="85" t="s">
        <v>75</v>
      </c>
      <c r="D21" s="85" t="s">
        <v>163</v>
      </c>
      <c r="E21" s="82">
        <v>282.16785320000002</v>
      </c>
      <c r="F21" s="86" t="s">
        <v>797</v>
      </c>
      <c r="G21" s="87" t="s">
        <v>269</v>
      </c>
      <c r="H21" s="85" t="s">
        <v>452</v>
      </c>
      <c r="I21" s="85" t="s">
        <v>798</v>
      </c>
      <c r="J21" s="85" t="s">
        <v>799</v>
      </c>
      <c r="K21" s="85" t="s">
        <v>138</v>
      </c>
      <c r="L21" s="82">
        <v>45.033799999999999</v>
      </c>
      <c r="M21" s="82">
        <v>89.059600000000003</v>
      </c>
      <c r="N21" s="82">
        <v>133.0847</v>
      </c>
      <c r="O21" s="50">
        <v>-2.95</v>
      </c>
      <c r="P21" s="50">
        <v>-2.57</v>
      </c>
      <c r="AJ21" s="85">
        <v>25</v>
      </c>
      <c r="AK21" s="85" t="s">
        <v>721</v>
      </c>
      <c r="AL21" s="85">
        <v>5.16</v>
      </c>
      <c r="AM21" s="85" t="s">
        <v>722</v>
      </c>
      <c r="AN21" s="85" t="s">
        <v>723</v>
      </c>
      <c r="AO21" s="85" t="s">
        <v>724</v>
      </c>
      <c r="AP21" s="85">
        <v>282.16785317199998</v>
      </c>
      <c r="AQ21" s="85">
        <v>283.17512962400002</v>
      </c>
      <c r="AR21" s="85">
        <v>300.20167873000003</v>
      </c>
      <c r="AS21" s="85">
        <v>305.15707425199997</v>
      </c>
      <c r="AT21" s="85">
        <v>281.16057671999999</v>
      </c>
      <c r="AU21" s="85">
        <v>17472</v>
      </c>
      <c r="AV21" s="85">
        <v>16521</v>
      </c>
      <c r="AW21" s="85">
        <v>-1.5519000000000001</v>
      </c>
      <c r="AX21" s="85">
        <v>-2.1579999999999999</v>
      </c>
      <c r="AY21" s="85">
        <v>0.15260000000000001</v>
      </c>
      <c r="AZ21" s="85" t="b">
        <v>1</v>
      </c>
    </row>
    <row r="22" spans="1:52" x14ac:dyDescent="0.25">
      <c r="A22" s="38">
        <v>21</v>
      </c>
      <c r="B22" s="85" t="s">
        <v>800</v>
      </c>
      <c r="C22" s="85" t="s">
        <v>76</v>
      </c>
      <c r="D22" s="85" t="s">
        <v>164</v>
      </c>
      <c r="E22" s="82">
        <v>326.19406789999999</v>
      </c>
      <c r="F22" s="86" t="s">
        <v>801</v>
      </c>
      <c r="G22" s="86" t="s">
        <v>802</v>
      </c>
      <c r="H22" s="85" t="s">
        <v>453</v>
      </c>
      <c r="I22" s="85" t="s">
        <v>803</v>
      </c>
      <c r="J22" s="85" t="s">
        <v>804</v>
      </c>
      <c r="K22" s="85" t="s">
        <v>138</v>
      </c>
      <c r="L22" s="82">
        <v>45.033799999999999</v>
      </c>
      <c r="M22" s="82">
        <v>89.059600000000003</v>
      </c>
      <c r="N22" s="82">
        <v>133.0847</v>
      </c>
      <c r="O22" s="50">
        <v>-3.3</v>
      </c>
      <c r="P22" s="50">
        <v>-2.85</v>
      </c>
      <c r="AJ22" s="85">
        <v>25</v>
      </c>
      <c r="AK22" s="85" t="s">
        <v>721</v>
      </c>
      <c r="AL22" s="85">
        <v>5.4</v>
      </c>
      <c r="AM22" s="85" t="s">
        <v>722</v>
      </c>
      <c r="AN22" s="85" t="s">
        <v>723</v>
      </c>
      <c r="AO22" s="85" t="s">
        <v>724</v>
      </c>
      <c r="AP22" s="85">
        <v>326.19406792000001</v>
      </c>
      <c r="AQ22" s="85">
        <v>327.20134437199999</v>
      </c>
      <c r="AR22" s="85">
        <v>344.227893478</v>
      </c>
      <c r="AS22" s="85">
        <v>349.183289</v>
      </c>
      <c r="AT22" s="85">
        <v>325.18679146800002</v>
      </c>
      <c r="AU22" s="85">
        <v>79718</v>
      </c>
      <c r="AV22" s="85">
        <v>72017</v>
      </c>
      <c r="AW22" s="85">
        <v>-1.6828000000000001</v>
      </c>
      <c r="AX22" s="85">
        <v>-2.3479999999999999</v>
      </c>
      <c r="AY22" s="85">
        <v>-0.15559999999999999</v>
      </c>
      <c r="AZ22" s="85" t="b">
        <v>1</v>
      </c>
    </row>
    <row r="23" spans="1:52" x14ac:dyDescent="0.25">
      <c r="A23" s="38">
        <v>22</v>
      </c>
      <c r="B23" s="85" t="s">
        <v>805</v>
      </c>
      <c r="C23" s="85" t="s">
        <v>77</v>
      </c>
      <c r="D23" s="85" t="s">
        <v>165</v>
      </c>
      <c r="E23" s="82">
        <v>370.22028269999998</v>
      </c>
      <c r="F23" s="86" t="s">
        <v>806</v>
      </c>
      <c r="G23" s="87" t="s">
        <v>269</v>
      </c>
      <c r="H23" s="85" t="s">
        <v>454</v>
      </c>
      <c r="I23" s="85" t="s">
        <v>807</v>
      </c>
      <c r="J23" s="85" t="s">
        <v>808</v>
      </c>
      <c r="K23" s="85" t="s">
        <v>138</v>
      </c>
      <c r="L23" s="82">
        <v>45.033799999999999</v>
      </c>
      <c r="M23" s="82">
        <v>89.059600000000003</v>
      </c>
      <c r="N23" s="82">
        <v>133.0847</v>
      </c>
      <c r="O23" s="50">
        <v>-3.66</v>
      </c>
      <c r="P23" s="50">
        <v>-3.12</v>
      </c>
      <c r="AJ23" s="85">
        <v>25</v>
      </c>
      <c r="AK23" s="85" t="s">
        <v>721</v>
      </c>
      <c r="AL23" s="85">
        <v>5.6</v>
      </c>
      <c r="AM23" s="85" t="s">
        <v>722</v>
      </c>
      <c r="AN23" s="85" t="s">
        <v>723</v>
      </c>
      <c r="AO23" s="85" t="s">
        <v>724</v>
      </c>
      <c r="AP23" s="85">
        <v>370.22028266799998</v>
      </c>
      <c r="AQ23" s="85">
        <v>371.22755912000002</v>
      </c>
      <c r="AR23" s="85">
        <v>388.25410822600003</v>
      </c>
      <c r="AS23" s="85">
        <v>393.20950374799997</v>
      </c>
      <c r="AT23" s="85">
        <v>369.213006216</v>
      </c>
      <c r="AU23" s="85">
        <v>78798</v>
      </c>
      <c r="AV23" s="85">
        <v>71135</v>
      </c>
      <c r="AW23" s="85">
        <v>-1.8137000000000001</v>
      </c>
      <c r="AX23" s="85">
        <v>-2.5379999999999998</v>
      </c>
      <c r="AY23" s="85">
        <v>-0.46389999999999998</v>
      </c>
      <c r="AZ23" s="85" t="b">
        <v>1</v>
      </c>
    </row>
    <row r="24" spans="1:52" x14ac:dyDescent="0.25">
      <c r="A24" s="38">
        <v>23</v>
      </c>
      <c r="B24" s="85" t="s">
        <v>809</v>
      </c>
      <c r="C24" s="85" t="s">
        <v>78</v>
      </c>
      <c r="D24" s="85" t="s">
        <v>166</v>
      </c>
      <c r="E24" s="82">
        <v>414.24649740000001</v>
      </c>
      <c r="F24" s="86" t="s">
        <v>810</v>
      </c>
      <c r="G24" s="87" t="s">
        <v>269</v>
      </c>
      <c r="H24" s="85" t="s">
        <v>455</v>
      </c>
      <c r="I24" s="85" t="s">
        <v>811</v>
      </c>
      <c r="J24" s="85" t="s">
        <v>812</v>
      </c>
      <c r="K24" s="85" t="s">
        <v>138</v>
      </c>
      <c r="L24" s="82">
        <v>45.033799999999999</v>
      </c>
      <c r="M24" s="82">
        <v>89.059600000000003</v>
      </c>
      <c r="N24" s="82">
        <v>133.0847</v>
      </c>
      <c r="O24" s="50">
        <v>-4.0199999999999996</v>
      </c>
      <c r="P24" s="50">
        <v>-3.39</v>
      </c>
      <c r="AJ24" s="85">
        <v>25</v>
      </c>
      <c r="AK24" s="85" t="s">
        <v>721</v>
      </c>
      <c r="AL24" s="85">
        <v>5.8</v>
      </c>
      <c r="AM24" s="85" t="s">
        <v>722</v>
      </c>
      <c r="AN24" s="85" t="s">
        <v>723</v>
      </c>
      <c r="AO24" s="85" t="s">
        <v>724</v>
      </c>
      <c r="AP24" s="85">
        <v>414.24649741600001</v>
      </c>
      <c r="AQ24" s="85">
        <v>415.253773868</v>
      </c>
      <c r="AR24" s="85">
        <v>432.280322974</v>
      </c>
      <c r="AS24" s="85">
        <v>437.235718496</v>
      </c>
      <c r="AT24" s="85">
        <v>413.23922096400003</v>
      </c>
      <c r="AU24" s="85">
        <v>4867</v>
      </c>
      <c r="AV24" s="85">
        <v>4701</v>
      </c>
      <c r="AW24" s="85">
        <v>-1.9446000000000001</v>
      </c>
      <c r="AX24" s="85">
        <v>-2.7280000000000002</v>
      </c>
      <c r="AY24" s="85">
        <v>-0.7722</v>
      </c>
      <c r="AZ24" s="85" t="b">
        <v>1</v>
      </c>
    </row>
    <row r="25" spans="1:52" x14ac:dyDescent="0.25">
      <c r="A25" s="38">
        <v>24</v>
      </c>
      <c r="B25" s="85" t="s">
        <v>813</v>
      </c>
      <c r="C25" s="85" t="s">
        <v>79</v>
      </c>
      <c r="D25" s="85" t="s">
        <v>167</v>
      </c>
      <c r="E25" s="82">
        <v>458.2727122</v>
      </c>
      <c r="F25" s="86" t="s">
        <v>814</v>
      </c>
      <c r="G25" s="87" t="s">
        <v>269</v>
      </c>
      <c r="H25" s="85" t="s">
        <v>456</v>
      </c>
      <c r="I25" s="85" t="s">
        <v>815</v>
      </c>
      <c r="J25" s="85" t="s">
        <v>816</v>
      </c>
      <c r="K25" s="85" t="s">
        <v>138</v>
      </c>
      <c r="L25" s="82">
        <v>45.033799999999999</v>
      </c>
      <c r="M25" s="82">
        <v>89.059600000000003</v>
      </c>
      <c r="N25" s="82">
        <v>133.0847</v>
      </c>
      <c r="O25" s="50">
        <v>-4.38</v>
      </c>
      <c r="P25" s="50">
        <v>-3.67</v>
      </c>
      <c r="AJ25" s="85">
        <v>25</v>
      </c>
      <c r="AK25" s="85" t="s">
        <v>721</v>
      </c>
      <c r="AL25" s="85">
        <v>5.9</v>
      </c>
      <c r="AM25" s="85" t="s">
        <v>722</v>
      </c>
      <c r="AN25" s="85" t="s">
        <v>723</v>
      </c>
      <c r="AO25" s="85" t="s">
        <v>724</v>
      </c>
      <c r="AP25" s="85">
        <v>458.27271216399998</v>
      </c>
      <c r="AQ25" s="85">
        <v>459.27998861600003</v>
      </c>
      <c r="AR25" s="85">
        <v>476.30653772199997</v>
      </c>
      <c r="AS25" s="85">
        <v>481.26193324399998</v>
      </c>
      <c r="AT25" s="85">
        <v>457.265435712</v>
      </c>
      <c r="AU25" s="85">
        <v>79689</v>
      </c>
      <c r="AV25" s="85">
        <v>71989</v>
      </c>
      <c r="AW25" s="85">
        <v>-2.0754999999999999</v>
      </c>
      <c r="AX25" s="85">
        <v>-2.9180000000000001</v>
      </c>
      <c r="AY25" s="85">
        <v>-1.0805</v>
      </c>
      <c r="AZ25" s="85" t="b">
        <v>1</v>
      </c>
    </row>
    <row r="26" spans="1:52" x14ac:dyDescent="0.25">
      <c r="A26" s="38">
        <v>25</v>
      </c>
      <c r="B26" s="85" t="s">
        <v>817</v>
      </c>
      <c r="C26" s="85" t="s">
        <v>80</v>
      </c>
      <c r="D26" s="85" t="s">
        <v>168</v>
      </c>
      <c r="E26" s="82">
        <v>502.29892690000003</v>
      </c>
      <c r="F26" s="86" t="s">
        <v>818</v>
      </c>
      <c r="G26" s="87" t="s">
        <v>269</v>
      </c>
      <c r="H26" s="85" t="s">
        <v>457</v>
      </c>
      <c r="I26" s="85" t="s">
        <v>819</v>
      </c>
      <c r="J26" s="85" t="s">
        <v>820</v>
      </c>
      <c r="K26" s="85" t="s">
        <v>138</v>
      </c>
      <c r="L26" s="82">
        <v>45.033799999999999</v>
      </c>
      <c r="M26" s="82">
        <v>89.059600000000003</v>
      </c>
      <c r="N26" s="82">
        <v>133.0847</v>
      </c>
      <c r="O26" s="50">
        <v>-4.74</v>
      </c>
      <c r="P26" s="50">
        <v>-3.94</v>
      </c>
      <c r="AJ26" s="85">
        <v>25</v>
      </c>
      <c r="AK26" s="85" t="s">
        <v>721</v>
      </c>
      <c r="AL26" s="85">
        <v>6.13</v>
      </c>
      <c r="AM26" s="85" t="s">
        <v>722</v>
      </c>
      <c r="AN26" s="85" t="s">
        <v>723</v>
      </c>
      <c r="AO26" s="85" t="s">
        <v>724</v>
      </c>
      <c r="AP26" s="85">
        <v>502.29892691200001</v>
      </c>
      <c r="AQ26" s="85">
        <v>503.306203364</v>
      </c>
      <c r="AR26" s="85">
        <v>520.33275246999995</v>
      </c>
      <c r="AS26" s="85">
        <v>525.28814799199995</v>
      </c>
      <c r="AT26" s="85">
        <v>501.29165046000003</v>
      </c>
      <c r="AU26" s="85">
        <v>81260</v>
      </c>
      <c r="AV26" s="85">
        <v>73316</v>
      </c>
      <c r="AW26" s="85">
        <v>-2.2063999999999999</v>
      </c>
      <c r="AX26" s="85">
        <v>-3.1080000000000001</v>
      </c>
      <c r="AY26" s="85">
        <v>-1.3887</v>
      </c>
      <c r="AZ26" s="85" t="b">
        <v>1</v>
      </c>
    </row>
    <row r="27" spans="1:52" x14ac:dyDescent="0.25">
      <c r="A27" s="38">
        <v>26</v>
      </c>
      <c r="B27" s="85" t="s">
        <v>821</v>
      </c>
      <c r="C27" s="85" t="s">
        <v>81</v>
      </c>
      <c r="D27" s="85" t="s">
        <v>169</v>
      </c>
      <c r="E27" s="82">
        <v>546.32514170000002</v>
      </c>
      <c r="F27" s="86" t="s">
        <v>822</v>
      </c>
      <c r="G27" s="87" t="s">
        <v>269</v>
      </c>
      <c r="H27" s="85" t="s">
        <v>458</v>
      </c>
      <c r="I27" s="85" t="s">
        <v>823</v>
      </c>
      <c r="J27" s="85" t="s">
        <v>824</v>
      </c>
      <c r="K27" s="85" t="s">
        <v>138</v>
      </c>
      <c r="L27" s="82">
        <v>45.033799999999999</v>
      </c>
      <c r="M27" s="82">
        <v>89.059600000000003</v>
      </c>
      <c r="N27" s="82">
        <v>133.0847</v>
      </c>
      <c r="O27" s="50">
        <v>-5.09</v>
      </c>
      <c r="P27" s="50">
        <v>-4.22</v>
      </c>
      <c r="AJ27" s="85">
        <v>25</v>
      </c>
      <c r="AK27" s="85" t="s">
        <v>721</v>
      </c>
      <c r="AL27" s="85">
        <v>6.3</v>
      </c>
      <c r="AM27" s="85" t="s">
        <v>722</v>
      </c>
      <c r="AN27" s="85" t="s">
        <v>723</v>
      </c>
      <c r="AO27" s="85" t="s">
        <v>724</v>
      </c>
      <c r="AP27" s="85">
        <v>546.32514165999999</v>
      </c>
      <c r="AQ27" s="85">
        <v>547.33241811200003</v>
      </c>
      <c r="AR27" s="85">
        <v>564.35896721799998</v>
      </c>
      <c r="AS27" s="85">
        <v>569.31436273999998</v>
      </c>
      <c r="AT27" s="85">
        <v>545.31786520799994</v>
      </c>
      <c r="AU27" s="85">
        <v>81248</v>
      </c>
      <c r="AV27" s="85">
        <v>73305</v>
      </c>
      <c r="AW27" s="85">
        <v>-2.3372999999999999</v>
      </c>
      <c r="AX27" s="85">
        <v>-3.298</v>
      </c>
      <c r="AY27" s="85">
        <v>-1.6970000000000001</v>
      </c>
      <c r="AZ27" s="85" t="b">
        <v>1</v>
      </c>
    </row>
    <row r="28" spans="1:52" x14ac:dyDescent="0.25">
      <c r="A28" s="38">
        <v>27</v>
      </c>
      <c r="B28" s="85" t="s">
        <v>825</v>
      </c>
      <c r="C28" s="85" t="s">
        <v>82</v>
      </c>
      <c r="D28" s="85" t="s">
        <v>170</v>
      </c>
      <c r="E28" s="82">
        <v>590.35135639999999</v>
      </c>
      <c r="F28" s="86" t="s">
        <v>826</v>
      </c>
      <c r="G28" s="87" t="s">
        <v>269</v>
      </c>
      <c r="H28" s="85" t="s">
        <v>459</v>
      </c>
      <c r="I28" s="85" t="s">
        <v>827</v>
      </c>
      <c r="J28" s="85" t="s">
        <v>828</v>
      </c>
      <c r="K28" s="85" t="s">
        <v>138</v>
      </c>
      <c r="L28" s="82">
        <v>45.033799999999999</v>
      </c>
      <c r="M28" s="82">
        <v>89.059600000000003</v>
      </c>
      <c r="N28" s="82">
        <v>133.0847</v>
      </c>
      <c r="O28" s="50">
        <v>-5.45</v>
      </c>
      <c r="P28" s="50">
        <v>-4.49</v>
      </c>
      <c r="AJ28" s="85">
        <v>25</v>
      </c>
      <c r="AK28" s="85" t="s">
        <v>721</v>
      </c>
      <c r="AL28" s="85">
        <v>6.44</v>
      </c>
      <c r="AM28" s="85" t="s">
        <v>722</v>
      </c>
      <c r="AN28" s="85" t="s">
        <v>723</v>
      </c>
      <c r="AO28" s="85" t="s">
        <v>724</v>
      </c>
      <c r="AP28" s="85">
        <v>590.35135640800002</v>
      </c>
      <c r="AQ28" s="85">
        <v>591.35863285999994</v>
      </c>
      <c r="AR28" s="85">
        <v>608.385181966</v>
      </c>
      <c r="AS28" s="85">
        <v>613.34057748800001</v>
      </c>
      <c r="AT28" s="85">
        <v>589.34407995599997</v>
      </c>
      <c r="AU28" s="85">
        <v>87168</v>
      </c>
      <c r="AV28" s="85">
        <v>78633</v>
      </c>
      <c r="AW28" s="85">
        <v>-2.4681999999999999</v>
      </c>
      <c r="AX28" s="85">
        <v>-3.488</v>
      </c>
      <c r="AY28" s="85">
        <v>-2.0053000000000001</v>
      </c>
      <c r="AZ28" s="85" t="b">
        <v>1</v>
      </c>
    </row>
    <row r="29" spans="1:52" x14ac:dyDescent="0.25">
      <c r="A29" s="38">
        <v>28</v>
      </c>
      <c r="B29" s="85" t="s">
        <v>829</v>
      </c>
      <c r="C29" s="85" t="s">
        <v>83</v>
      </c>
      <c r="D29" s="85" t="s">
        <v>171</v>
      </c>
      <c r="E29" s="82">
        <v>634.37757120000003</v>
      </c>
      <c r="F29" s="86" t="s">
        <v>830</v>
      </c>
      <c r="G29" s="87" t="s">
        <v>269</v>
      </c>
      <c r="H29" s="85" t="s">
        <v>460</v>
      </c>
      <c r="I29" s="85" t="s">
        <v>831</v>
      </c>
      <c r="J29" s="85" t="s">
        <v>832</v>
      </c>
      <c r="K29" s="85" t="s">
        <v>138</v>
      </c>
      <c r="L29" s="82">
        <v>45.033799999999999</v>
      </c>
      <c r="M29" s="82">
        <v>89.059600000000003</v>
      </c>
      <c r="N29" s="82">
        <v>133.0847</v>
      </c>
      <c r="O29" s="50">
        <v>-5.81</v>
      </c>
      <c r="P29" s="50">
        <v>-4.7699999999999996</v>
      </c>
      <c r="AJ29" s="85">
        <v>25</v>
      </c>
      <c r="AK29" s="85" t="s">
        <v>721</v>
      </c>
      <c r="AL29" s="85">
        <v>6.6</v>
      </c>
      <c r="AM29" s="85" t="s">
        <v>722</v>
      </c>
      <c r="AN29" s="85" t="s">
        <v>723</v>
      </c>
      <c r="AO29" s="85" t="s">
        <v>724</v>
      </c>
      <c r="AP29" s="85">
        <v>634.37757115600004</v>
      </c>
      <c r="AQ29" s="85">
        <v>635.38484760799997</v>
      </c>
      <c r="AR29" s="85">
        <v>652.41139671400003</v>
      </c>
      <c r="AS29" s="85">
        <v>657.36679223600004</v>
      </c>
      <c r="AT29" s="85">
        <v>633.370294704</v>
      </c>
      <c r="AU29" s="85">
        <v>656926</v>
      </c>
      <c r="AV29" s="85">
        <v>571172</v>
      </c>
      <c r="AW29" s="85">
        <v>-2.5991</v>
      </c>
      <c r="AX29" s="85">
        <v>-3.6779999999999999</v>
      </c>
      <c r="AY29" s="85">
        <v>-2.3136000000000001</v>
      </c>
      <c r="AZ29" s="85" t="b">
        <v>1</v>
      </c>
    </row>
    <row r="30" spans="1:52" x14ac:dyDescent="0.25">
      <c r="A30" s="38">
        <v>29</v>
      </c>
      <c r="B30" s="85" t="s">
        <v>833</v>
      </c>
      <c r="C30" s="85" t="s">
        <v>84</v>
      </c>
      <c r="D30" s="85" t="s">
        <v>172</v>
      </c>
      <c r="E30" s="82">
        <v>678.4037859</v>
      </c>
      <c r="F30" s="86" t="s">
        <v>834</v>
      </c>
      <c r="G30" s="87" t="s">
        <v>269</v>
      </c>
      <c r="H30" s="85" t="s">
        <v>461</v>
      </c>
      <c r="I30" s="85" t="s">
        <v>835</v>
      </c>
      <c r="J30" s="85" t="s">
        <v>836</v>
      </c>
      <c r="K30" s="85" t="s">
        <v>138</v>
      </c>
      <c r="L30" s="82">
        <v>45.033799999999999</v>
      </c>
      <c r="M30" s="82">
        <v>89.059600000000003</v>
      </c>
      <c r="N30" s="82">
        <v>133.0847</v>
      </c>
      <c r="O30" s="50">
        <v>-6.17</v>
      </c>
      <c r="P30" s="50">
        <v>-5.04</v>
      </c>
      <c r="AJ30" s="85">
        <v>25</v>
      </c>
      <c r="AK30" s="85" t="s">
        <v>721</v>
      </c>
      <c r="AL30" s="85">
        <v>6.7</v>
      </c>
      <c r="AM30" s="85" t="s">
        <v>722</v>
      </c>
      <c r="AN30" s="85" t="s">
        <v>723</v>
      </c>
      <c r="AO30" s="85" t="s">
        <v>724</v>
      </c>
      <c r="AP30" s="85">
        <v>678.40378590399996</v>
      </c>
      <c r="AQ30" s="85">
        <v>679.411062356</v>
      </c>
      <c r="AR30" s="85">
        <v>696.43761146199995</v>
      </c>
      <c r="AS30" s="85">
        <v>701.39300698399995</v>
      </c>
      <c r="AT30" s="85">
        <v>677.39650945200003</v>
      </c>
      <c r="AU30" s="85">
        <v>120062</v>
      </c>
      <c r="AV30" s="85">
        <v>107185</v>
      </c>
      <c r="AW30" s="85">
        <v>-2.73</v>
      </c>
      <c r="AX30" s="85">
        <v>-3.8679999999999999</v>
      </c>
      <c r="AY30" s="85">
        <v>-2.6217999999999999</v>
      </c>
      <c r="AZ30" s="85" t="b">
        <v>1</v>
      </c>
    </row>
    <row r="31" spans="1:52" x14ac:dyDescent="0.25">
      <c r="A31" s="38">
        <v>30</v>
      </c>
      <c r="B31" s="85" t="s">
        <v>837</v>
      </c>
      <c r="C31" s="85" t="s">
        <v>85</v>
      </c>
      <c r="D31" s="85" t="s">
        <v>173</v>
      </c>
      <c r="E31" s="82">
        <v>722.43000070000005</v>
      </c>
      <c r="F31" s="86" t="s">
        <v>838</v>
      </c>
      <c r="G31" s="87" t="s">
        <v>269</v>
      </c>
      <c r="H31" s="85" t="s">
        <v>462</v>
      </c>
      <c r="I31" s="85" t="s">
        <v>839</v>
      </c>
      <c r="J31" s="85" t="s">
        <v>840</v>
      </c>
      <c r="K31" s="85" t="s">
        <v>138</v>
      </c>
      <c r="L31" s="82">
        <v>45.033799999999999</v>
      </c>
      <c r="M31" s="82">
        <v>89.059600000000003</v>
      </c>
      <c r="N31" s="82">
        <v>133.0847</v>
      </c>
      <c r="O31" s="50">
        <v>-6.53</v>
      </c>
      <c r="P31" s="50">
        <v>-5.32</v>
      </c>
      <c r="AJ31" s="85">
        <v>25</v>
      </c>
      <c r="AK31" s="85" t="s">
        <v>721</v>
      </c>
      <c r="AL31" s="85">
        <v>6.9</v>
      </c>
      <c r="AM31" s="85" t="s">
        <v>722</v>
      </c>
      <c r="AN31" s="85" t="s">
        <v>723</v>
      </c>
      <c r="AO31" s="85" t="s">
        <v>724</v>
      </c>
      <c r="AP31" s="85">
        <v>722.43000065199999</v>
      </c>
      <c r="AQ31" s="85">
        <v>723.43727710400003</v>
      </c>
      <c r="AR31" s="85">
        <v>740.46382620999998</v>
      </c>
      <c r="AS31" s="85">
        <v>745.41922173199998</v>
      </c>
      <c r="AT31" s="85">
        <v>721.42272419999995</v>
      </c>
      <c r="AU31" s="85">
        <v>81262</v>
      </c>
      <c r="AV31" s="85">
        <v>73318</v>
      </c>
      <c r="AW31" s="85">
        <v>-2.8609</v>
      </c>
      <c r="AX31" s="85">
        <v>-4.0579999999999998</v>
      </c>
      <c r="AY31" s="85">
        <v>-2.9300999999999999</v>
      </c>
      <c r="AZ31" s="85" t="b">
        <v>1</v>
      </c>
    </row>
    <row r="32" spans="1:52" x14ac:dyDescent="0.25">
      <c r="A32" s="38">
        <v>31</v>
      </c>
      <c r="B32" s="85" t="s">
        <v>841</v>
      </c>
      <c r="C32" s="85" t="s">
        <v>86</v>
      </c>
      <c r="D32" s="85" t="s">
        <v>174</v>
      </c>
      <c r="E32" s="82">
        <v>766.45621540000002</v>
      </c>
      <c r="F32" s="86" t="s">
        <v>269</v>
      </c>
      <c r="G32" s="87" t="s">
        <v>269</v>
      </c>
      <c r="H32" s="85" t="s">
        <v>463</v>
      </c>
      <c r="I32" s="85" t="s">
        <v>842</v>
      </c>
      <c r="J32" s="85" t="s">
        <v>843</v>
      </c>
      <c r="K32" s="85" t="s">
        <v>138</v>
      </c>
      <c r="L32" s="82">
        <v>45.033799999999999</v>
      </c>
      <c r="M32" s="82">
        <v>89.059600000000003</v>
      </c>
      <c r="N32" s="82">
        <v>133.0847</v>
      </c>
      <c r="O32" s="50" t="s">
        <v>564</v>
      </c>
      <c r="P32" s="50">
        <v>-5.59</v>
      </c>
      <c r="AJ32" s="85">
        <v>25</v>
      </c>
      <c r="AK32" s="85" t="s">
        <v>721</v>
      </c>
      <c r="AL32" s="85">
        <v>7</v>
      </c>
      <c r="AM32" s="85" t="s">
        <v>722</v>
      </c>
      <c r="AN32" s="85" t="s">
        <v>723</v>
      </c>
      <c r="AO32" s="85" t="s">
        <v>724</v>
      </c>
      <c r="AP32" s="85">
        <v>766.45621540000002</v>
      </c>
      <c r="AQ32" s="85">
        <v>767.46349185199995</v>
      </c>
      <c r="AR32" s="85">
        <v>784.49004095800001</v>
      </c>
      <c r="AS32" s="85">
        <v>789.44543648000001</v>
      </c>
      <c r="AT32" s="85">
        <v>765.44893894799998</v>
      </c>
      <c r="AU32" s="85">
        <v>13956225</v>
      </c>
      <c r="AV32" s="85">
        <v>14533135</v>
      </c>
      <c r="AW32" s="85">
        <v>-2.9918</v>
      </c>
      <c r="AX32" s="85">
        <v>-4.2480000000000002</v>
      </c>
      <c r="AY32" s="85">
        <v>-3.2383999999999999</v>
      </c>
      <c r="AZ32" s="85" t="b">
        <v>1</v>
      </c>
    </row>
    <row r="33" spans="1:52" x14ac:dyDescent="0.25">
      <c r="A33" s="38">
        <v>32</v>
      </c>
      <c r="B33" s="85" t="s">
        <v>844</v>
      </c>
      <c r="C33" s="85" t="s">
        <v>4</v>
      </c>
      <c r="D33" s="85" t="s">
        <v>175</v>
      </c>
      <c r="E33" s="82">
        <v>230.04547500000001</v>
      </c>
      <c r="F33" s="86" t="s">
        <v>269</v>
      </c>
      <c r="G33" s="87" t="s">
        <v>269</v>
      </c>
      <c r="H33" s="85" t="s">
        <v>465</v>
      </c>
      <c r="I33" s="85" t="s">
        <v>845</v>
      </c>
      <c r="J33" s="85" t="s">
        <v>846</v>
      </c>
      <c r="K33" s="85" t="s">
        <v>138</v>
      </c>
      <c r="L33" s="82">
        <v>89.059600000000003</v>
      </c>
      <c r="M33" s="82">
        <v>133.0847</v>
      </c>
      <c r="N33" s="82">
        <v>177.1121</v>
      </c>
      <c r="O33" s="50" t="s">
        <v>564</v>
      </c>
      <c r="P33" s="50">
        <v>-4.5</v>
      </c>
    </row>
    <row r="34" spans="1:52" x14ac:dyDescent="0.25">
      <c r="A34" s="38">
        <v>33</v>
      </c>
      <c r="B34" s="85" t="s">
        <v>844</v>
      </c>
      <c r="C34" s="85" t="s">
        <v>4</v>
      </c>
      <c r="D34" s="85" t="s">
        <v>175</v>
      </c>
      <c r="E34" s="82">
        <v>230.04547500000001</v>
      </c>
      <c r="F34" s="86" t="s">
        <v>269</v>
      </c>
      <c r="G34" s="87" t="s">
        <v>269</v>
      </c>
      <c r="H34" s="85" t="s">
        <v>465</v>
      </c>
      <c r="I34" s="85" t="s">
        <v>845</v>
      </c>
      <c r="J34" s="85" t="s">
        <v>846</v>
      </c>
      <c r="K34" s="85" t="s">
        <v>139</v>
      </c>
      <c r="L34" s="82">
        <v>79.956199999999995</v>
      </c>
      <c r="M34" s="82">
        <v>96.959000000000003</v>
      </c>
      <c r="N34" s="82">
        <v>122.9756</v>
      </c>
      <c r="O34" s="50" t="s">
        <v>564</v>
      </c>
      <c r="P34" s="50">
        <v>-4.5</v>
      </c>
      <c r="AK34" s="85" t="s">
        <v>721</v>
      </c>
      <c r="AL34" s="85">
        <v>3.6</v>
      </c>
      <c r="AM34" s="85" t="s">
        <v>722</v>
      </c>
      <c r="AN34" s="85" t="s">
        <v>847</v>
      </c>
      <c r="AO34" s="85" t="s">
        <v>724</v>
      </c>
      <c r="AP34" s="85">
        <v>230.046023518</v>
      </c>
      <c r="AQ34" s="85">
        <v>231.05329997000001</v>
      </c>
      <c r="AR34" s="85">
        <v>248.07984907599999</v>
      </c>
      <c r="AS34" s="85">
        <v>253.03524459799999</v>
      </c>
      <c r="AT34" s="85">
        <v>229.03874706600001</v>
      </c>
      <c r="AU34" s="85">
        <v>18626819</v>
      </c>
      <c r="AV34" s="85" t="s">
        <v>564</v>
      </c>
      <c r="AW34" s="85">
        <v>-1.208</v>
      </c>
      <c r="AX34" s="85">
        <v>-2.8849999999999998</v>
      </c>
      <c r="AY34" s="85">
        <v>-1.0268999999999999</v>
      </c>
      <c r="AZ34" s="85" t="b">
        <v>1</v>
      </c>
    </row>
    <row r="35" spans="1:52" x14ac:dyDescent="0.25">
      <c r="A35" s="38">
        <v>34</v>
      </c>
      <c r="B35" s="85" t="s">
        <v>848</v>
      </c>
      <c r="C35" s="85" t="s">
        <v>5</v>
      </c>
      <c r="D35" s="85" t="s">
        <v>176</v>
      </c>
      <c r="E35" s="82">
        <v>274.07168999999999</v>
      </c>
      <c r="F35" s="86" t="s">
        <v>269</v>
      </c>
      <c r="G35" s="87" t="s">
        <v>269</v>
      </c>
      <c r="H35" s="85" t="s">
        <v>466</v>
      </c>
      <c r="I35" s="85" t="s">
        <v>849</v>
      </c>
      <c r="J35" s="85" t="s">
        <v>850</v>
      </c>
      <c r="K35" s="85" t="s">
        <v>138</v>
      </c>
      <c r="L35" s="82">
        <v>89.059600000000003</v>
      </c>
      <c r="M35" s="82">
        <v>133.0847</v>
      </c>
      <c r="N35" s="82">
        <v>177.1121</v>
      </c>
      <c r="O35" s="50" t="s">
        <v>564</v>
      </c>
      <c r="P35" s="50">
        <v>-4.78</v>
      </c>
    </row>
    <row r="36" spans="1:52" x14ac:dyDescent="0.25">
      <c r="A36" s="38">
        <v>35</v>
      </c>
      <c r="B36" s="85" t="s">
        <v>848</v>
      </c>
      <c r="C36" s="85" t="s">
        <v>5</v>
      </c>
      <c r="D36" s="85" t="s">
        <v>176</v>
      </c>
      <c r="E36" s="82">
        <v>274.07168999999999</v>
      </c>
      <c r="F36" s="86" t="s">
        <v>269</v>
      </c>
      <c r="G36" s="87" t="s">
        <v>269</v>
      </c>
      <c r="H36" s="85" t="s">
        <v>466</v>
      </c>
      <c r="I36" s="85" t="s">
        <v>849</v>
      </c>
      <c r="J36" s="85" t="s">
        <v>850</v>
      </c>
      <c r="K36" s="85" t="s">
        <v>139</v>
      </c>
      <c r="L36" s="82">
        <v>79.956199999999995</v>
      </c>
      <c r="M36" s="82">
        <v>96.959000000000003</v>
      </c>
      <c r="N36" s="82">
        <v>122.9756</v>
      </c>
      <c r="O36" s="50" t="s">
        <v>564</v>
      </c>
      <c r="P36" s="50">
        <v>-4.78</v>
      </c>
      <c r="AK36" s="85" t="s">
        <v>721</v>
      </c>
      <c r="AL36" s="85">
        <v>3.8</v>
      </c>
      <c r="AM36" s="85" t="s">
        <v>722</v>
      </c>
      <c r="AN36" s="85" t="s">
        <v>847</v>
      </c>
      <c r="AO36" s="85" t="s">
        <v>724</v>
      </c>
      <c r="AP36" s="85">
        <v>274.072238266</v>
      </c>
      <c r="AQ36" s="85">
        <v>275.07951471799998</v>
      </c>
      <c r="AR36" s="85">
        <v>292.10606382399999</v>
      </c>
      <c r="AS36" s="85">
        <v>297.06145934599999</v>
      </c>
      <c r="AT36" s="85">
        <v>273.06496181400001</v>
      </c>
      <c r="AU36" s="85">
        <v>21954859</v>
      </c>
      <c r="AV36" s="85">
        <v>10710717</v>
      </c>
      <c r="AW36" s="85">
        <v>-1.3389</v>
      </c>
      <c r="AX36" s="85">
        <v>-3.0750000000000002</v>
      </c>
      <c r="AY36" s="85">
        <v>-1.3351999999999999</v>
      </c>
      <c r="AZ36" s="85" t="b">
        <v>1</v>
      </c>
    </row>
    <row r="37" spans="1:52" x14ac:dyDescent="0.25">
      <c r="A37" s="38">
        <v>36</v>
      </c>
      <c r="B37" s="85" t="s">
        <v>851</v>
      </c>
      <c r="C37" s="85" t="s">
        <v>6</v>
      </c>
      <c r="D37" s="85" t="s">
        <v>177</v>
      </c>
      <c r="E37" s="82">
        <v>318.09845330000002</v>
      </c>
      <c r="F37" s="86" t="s">
        <v>269</v>
      </c>
      <c r="G37" s="87" t="s">
        <v>269</v>
      </c>
      <c r="H37" s="85" t="s">
        <v>467</v>
      </c>
      <c r="I37" s="85" t="s">
        <v>852</v>
      </c>
      <c r="J37" s="85" t="s">
        <v>853</v>
      </c>
      <c r="K37" s="85" t="s">
        <v>138</v>
      </c>
      <c r="L37" s="82">
        <v>89.059600000000003</v>
      </c>
      <c r="M37" s="82">
        <v>133.0847</v>
      </c>
      <c r="N37" s="82">
        <v>177.1121</v>
      </c>
      <c r="O37" s="50" t="s">
        <v>564</v>
      </c>
      <c r="P37" s="50">
        <v>-5.05</v>
      </c>
    </row>
    <row r="38" spans="1:52" x14ac:dyDescent="0.25">
      <c r="A38" s="38">
        <v>37</v>
      </c>
      <c r="B38" s="85" t="s">
        <v>851</v>
      </c>
      <c r="C38" s="85" t="s">
        <v>6</v>
      </c>
      <c r="D38" s="85" t="s">
        <v>177</v>
      </c>
      <c r="E38" s="82">
        <v>318.09845330000002</v>
      </c>
      <c r="F38" s="86" t="s">
        <v>269</v>
      </c>
      <c r="G38" s="87" t="s">
        <v>269</v>
      </c>
      <c r="H38" s="85" t="s">
        <v>467</v>
      </c>
      <c r="I38" s="85" t="s">
        <v>852</v>
      </c>
      <c r="J38" s="85" t="s">
        <v>853</v>
      </c>
      <c r="K38" s="85" t="s">
        <v>139</v>
      </c>
      <c r="L38" s="82">
        <v>79.957363000000001</v>
      </c>
      <c r="M38" s="82">
        <v>96.960103000000004</v>
      </c>
      <c r="N38" s="82">
        <v>122.975753</v>
      </c>
      <c r="O38" s="50" t="s">
        <v>564</v>
      </c>
      <c r="P38" s="50">
        <v>-5.05</v>
      </c>
      <c r="AJ38" s="85" t="s">
        <v>854</v>
      </c>
      <c r="AK38" s="85" t="s">
        <v>721</v>
      </c>
      <c r="AL38" s="85">
        <v>2.9</v>
      </c>
      <c r="AM38" s="85" t="s">
        <v>722</v>
      </c>
      <c r="AN38" s="85" t="s">
        <v>723</v>
      </c>
      <c r="AO38" s="85" t="s">
        <v>724</v>
      </c>
      <c r="AP38" s="85">
        <v>318.09845301399997</v>
      </c>
      <c r="AQ38" s="85">
        <v>319.10572946600001</v>
      </c>
      <c r="AR38" s="85">
        <v>336.13227857200002</v>
      </c>
      <c r="AS38" s="85">
        <v>341.08767409400002</v>
      </c>
      <c r="AT38" s="85">
        <v>317.09117656199999</v>
      </c>
      <c r="AU38" s="85">
        <v>57176124</v>
      </c>
      <c r="AV38" s="85" t="s">
        <v>564</v>
      </c>
      <c r="AW38" s="85">
        <v>-1.4698</v>
      </c>
      <c r="AX38" s="85">
        <v>-3.2650000000000001</v>
      </c>
      <c r="AY38" s="85">
        <v>-1.6435</v>
      </c>
      <c r="AZ38" s="85" t="b">
        <v>1</v>
      </c>
    </row>
    <row r="39" spans="1:52" x14ac:dyDescent="0.25">
      <c r="A39" s="38">
        <v>38</v>
      </c>
      <c r="B39" s="85" t="s">
        <v>855</v>
      </c>
      <c r="C39" s="85" t="s">
        <v>7</v>
      </c>
      <c r="D39" s="85" t="s">
        <v>178</v>
      </c>
      <c r="E39" s="82">
        <v>362.12466799999999</v>
      </c>
      <c r="F39" s="86" t="s">
        <v>269</v>
      </c>
      <c r="G39" s="87" t="s">
        <v>269</v>
      </c>
      <c r="H39" s="85" t="s">
        <v>468</v>
      </c>
      <c r="I39" s="85" t="s">
        <v>856</v>
      </c>
      <c r="J39" s="85" t="s">
        <v>857</v>
      </c>
      <c r="K39" s="85" t="s">
        <v>138</v>
      </c>
      <c r="L39" s="82">
        <v>89.059600000000003</v>
      </c>
      <c r="M39" s="82">
        <v>133.0847</v>
      </c>
      <c r="N39" s="82">
        <v>177.1121</v>
      </c>
      <c r="O39" s="50" t="s">
        <v>564</v>
      </c>
      <c r="P39" s="50">
        <v>-5.33</v>
      </c>
    </row>
    <row r="40" spans="1:52" x14ac:dyDescent="0.25">
      <c r="A40" s="38">
        <v>39</v>
      </c>
      <c r="B40" s="85" t="s">
        <v>855</v>
      </c>
      <c r="C40" s="85" t="s">
        <v>7</v>
      </c>
      <c r="D40" s="85" t="s">
        <v>178</v>
      </c>
      <c r="E40" s="82">
        <v>362.12466799999999</v>
      </c>
      <c r="F40" s="86" t="s">
        <v>269</v>
      </c>
      <c r="G40" s="87" t="s">
        <v>269</v>
      </c>
      <c r="H40" s="85" t="s">
        <v>468</v>
      </c>
      <c r="I40" s="85" t="s">
        <v>856</v>
      </c>
      <c r="J40" s="85" t="s">
        <v>857</v>
      </c>
      <c r="K40" s="85" t="s">
        <v>139</v>
      </c>
      <c r="L40" s="82">
        <v>79.957363000000001</v>
      </c>
      <c r="M40" s="82">
        <v>96.960103000000004</v>
      </c>
      <c r="N40" s="82">
        <v>122.975753</v>
      </c>
      <c r="O40" s="50" t="s">
        <v>564</v>
      </c>
      <c r="P40" s="50">
        <v>-5.33</v>
      </c>
      <c r="AJ40" s="85" t="s">
        <v>854</v>
      </c>
      <c r="AK40" s="85" t="s">
        <v>721</v>
      </c>
      <c r="AL40" s="85">
        <v>3.2</v>
      </c>
      <c r="AM40" s="85" t="s">
        <v>722</v>
      </c>
      <c r="AN40" s="85" t="s">
        <v>723</v>
      </c>
      <c r="AO40" s="85" t="s">
        <v>724</v>
      </c>
      <c r="AP40" s="85">
        <v>362.124667762</v>
      </c>
      <c r="AQ40" s="85">
        <v>363.13194421399999</v>
      </c>
      <c r="AR40" s="85">
        <v>380.15849331999999</v>
      </c>
      <c r="AS40" s="85">
        <v>385.11388884199999</v>
      </c>
      <c r="AT40" s="85">
        <v>361.11739131000002</v>
      </c>
      <c r="AU40" s="85">
        <v>87325783</v>
      </c>
      <c r="AV40" s="85" t="s">
        <v>564</v>
      </c>
      <c r="AW40" s="85">
        <v>-1.6007</v>
      </c>
      <c r="AX40" s="85">
        <v>-3.4550000000000001</v>
      </c>
      <c r="AY40" s="85">
        <v>-1.9517</v>
      </c>
      <c r="AZ40" s="85" t="b">
        <v>1</v>
      </c>
    </row>
    <row r="41" spans="1:52" x14ac:dyDescent="0.25">
      <c r="A41" s="38">
        <v>40</v>
      </c>
      <c r="B41" s="85" t="s">
        <v>858</v>
      </c>
      <c r="C41" s="85" t="s">
        <v>8</v>
      </c>
      <c r="D41" s="85" t="s">
        <v>179</v>
      </c>
      <c r="E41" s="82">
        <v>406.15033399999999</v>
      </c>
      <c r="F41" s="86" t="s">
        <v>269</v>
      </c>
      <c r="G41" s="87" t="s">
        <v>269</v>
      </c>
      <c r="H41" s="85" t="s">
        <v>469</v>
      </c>
      <c r="I41" s="85" t="s">
        <v>859</v>
      </c>
      <c r="J41" s="85" t="s">
        <v>860</v>
      </c>
      <c r="K41" s="85" t="s">
        <v>138</v>
      </c>
      <c r="L41" s="82">
        <v>89.059600000000003</v>
      </c>
      <c r="M41" s="82">
        <v>133.0847</v>
      </c>
      <c r="N41" s="82">
        <v>177.1121</v>
      </c>
      <c r="O41" s="50" t="s">
        <v>564</v>
      </c>
      <c r="P41" s="50">
        <v>-5.6</v>
      </c>
    </row>
    <row r="42" spans="1:52" x14ac:dyDescent="0.25">
      <c r="A42" s="38">
        <v>41</v>
      </c>
      <c r="B42" s="85" t="s">
        <v>858</v>
      </c>
      <c r="C42" s="85" t="s">
        <v>8</v>
      </c>
      <c r="D42" s="85" t="s">
        <v>179</v>
      </c>
      <c r="E42" s="82">
        <v>406.15033399999999</v>
      </c>
      <c r="F42" s="86" t="s">
        <v>269</v>
      </c>
      <c r="G42" s="87" t="s">
        <v>269</v>
      </c>
      <c r="H42" s="85" t="s">
        <v>469</v>
      </c>
      <c r="I42" s="85" t="s">
        <v>859</v>
      </c>
      <c r="J42" s="85" t="s">
        <v>860</v>
      </c>
      <c r="K42" s="85" t="s">
        <v>139</v>
      </c>
      <c r="L42" s="82">
        <v>79.956199999999995</v>
      </c>
      <c r="M42" s="82">
        <v>96.959000000000003</v>
      </c>
      <c r="N42" s="82">
        <v>122.9756</v>
      </c>
      <c r="O42" s="50" t="s">
        <v>564</v>
      </c>
      <c r="P42" s="50">
        <v>-5.6</v>
      </c>
      <c r="AK42" s="85" t="s">
        <v>721</v>
      </c>
      <c r="AL42" s="85">
        <v>6.1</v>
      </c>
      <c r="AM42" s="85" t="s">
        <v>722</v>
      </c>
      <c r="AN42" s="85" t="s">
        <v>847</v>
      </c>
      <c r="AO42" s="85" t="s">
        <v>724</v>
      </c>
      <c r="AP42" s="85">
        <v>406.15088250999997</v>
      </c>
      <c r="AQ42" s="85">
        <v>407.15815896200002</v>
      </c>
      <c r="AR42" s="85">
        <v>424.18470806800002</v>
      </c>
      <c r="AS42" s="85">
        <v>429.14010359000002</v>
      </c>
      <c r="AT42" s="85">
        <v>405.14360605799999</v>
      </c>
      <c r="AU42" s="85" t="s">
        <v>564</v>
      </c>
      <c r="AV42" s="85" t="s">
        <v>564</v>
      </c>
      <c r="AW42" s="85">
        <v>-1.7316</v>
      </c>
      <c r="AX42" s="85">
        <v>-3.645</v>
      </c>
      <c r="AY42" s="85">
        <v>-2.2599999999999998</v>
      </c>
      <c r="AZ42" s="85" t="b">
        <v>1</v>
      </c>
    </row>
    <row r="43" spans="1:52" x14ac:dyDescent="0.25">
      <c r="A43" s="38">
        <v>42</v>
      </c>
      <c r="B43" s="85" t="s">
        <v>861</v>
      </c>
      <c r="C43" s="85" t="s">
        <v>9</v>
      </c>
      <c r="D43" s="85" t="s">
        <v>180</v>
      </c>
      <c r="E43" s="82">
        <v>450.17654900000002</v>
      </c>
      <c r="F43" s="86" t="s">
        <v>269</v>
      </c>
      <c r="G43" s="87" t="s">
        <v>269</v>
      </c>
      <c r="H43" s="85" t="s">
        <v>470</v>
      </c>
      <c r="I43" s="85" t="s">
        <v>862</v>
      </c>
      <c r="J43" s="85" t="s">
        <v>863</v>
      </c>
      <c r="K43" s="85" t="s">
        <v>138</v>
      </c>
      <c r="L43" s="82">
        <v>89.059600000000003</v>
      </c>
      <c r="M43" s="82">
        <v>133.0847</v>
      </c>
      <c r="N43" s="82">
        <v>177.1121</v>
      </c>
      <c r="O43" s="50" t="s">
        <v>564</v>
      </c>
      <c r="P43" s="50">
        <v>-5.87</v>
      </c>
    </row>
    <row r="44" spans="1:52" x14ac:dyDescent="0.25">
      <c r="A44" s="38">
        <v>43</v>
      </c>
      <c r="B44" s="85" t="s">
        <v>861</v>
      </c>
      <c r="C44" s="85" t="s">
        <v>9</v>
      </c>
      <c r="D44" s="85" t="s">
        <v>180</v>
      </c>
      <c r="E44" s="82">
        <v>450.17654900000002</v>
      </c>
      <c r="F44" s="86" t="s">
        <v>269</v>
      </c>
      <c r="G44" s="87" t="s">
        <v>269</v>
      </c>
      <c r="H44" s="85" t="s">
        <v>470</v>
      </c>
      <c r="I44" s="85" t="s">
        <v>862</v>
      </c>
      <c r="J44" s="85" t="s">
        <v>863</v>
      </c>
      <c r="K44" s="85" t="s">
        <v>139</v>
      </c>
      <c r="L44" s="82">
        <v>79.956199999999995</v>
      </c>
      <c r="M44" s="82">
        <v>96.959000000000003</v>
      </c>
      <c r="N44" s="82">
        <v>122.9756</v>
      </c>
      <c r="O44" s="50" t="s">
        <v>564</v>
      </c>
      <c r="P44" s="50">
        <v>-5.87</v>
      </c>
      <c r="AK44" s="85" t="s">
        <v>721</v>
      </c>
      <c r="AL44" s="85">
        <v>6.7</v>
      </c>
      <c r="AM44" s="85" t="s">
        <v>722</v>
      </c>
      <c r="AN44" s="85" t="s">
        <v>847</v>
      </c>
      <c r="AO44" s="85" t="s">
        <v>724</v>
      </c>
      <c r="AP44" s="85">
        <v>450.177097258</v>
      </c>
      <c r="AQ44" s="85">
        <v>451.18437370999999</v>
      </c>
      <c r="AR44" s="85">
        <v>468.21092281599999</v>
      </c>
      <c r="AS44" s="85">
        <v>473.166318338</v>
      </c>
      <c r="AT44" s="85">
        <v>449.16982080600002</v>
      </c>
      <c r="AU44" s="85">
        <v>54231124</v>
      </c>
      <c r="AV44" s="85" t="s">
        <v>564</v>
      </c>
      <c r="AW44" s="85">
        <v>-1.8625</v>
      </c>
      <c r="AX44" s="85">
        <v>-3.835</v>
      </c>
      <c r="AY44" s="85">
        <v>-2.5682999999999998</v>
      </c>
      <c r="AZ44" s="85" t="b">
        <v>1</v>
      </c>
    </row>
    <row r="45" spans="1:52" x14ac:dyDescent="0.25">
      <c r="A45" s="38">
        <v>44</v>
      </c>
      <c r="B45" s="85" t="s">
        <v>864</v>
      </c>
      <c r="C45" s="85" t="s">
        <v>10</v>
      </c>
      <c r="D45" s="85" t="s">
        <v>181</v>
      </c>
      <c r="E45" s="82">
        <v>494.202764</v>
      </c>
      <c r="F45" s="86" t="s">
        <v>269</v>
      </c>
      <c r="G45" s="87" t="s">
        <v>269</v>
      </c>
      <c r="H45" s="85" t="s">
        <v>471</v>
      </c>
      <c r="I45" s="85" t="s">
        <v>865</v>
      </c>
      <c r="J45" s="85" t="s">
        <v>866</v>
      </c>
      <c r="K45" s="85" t="s">
        <v>138</v>
      </c>
      <c r="L45" s="82">
        <v>89.059600000000003</v>
      </c>
      <c r="M45" s="82">
        <v>133.0847</v>
      </c>
      <c r="N45" s="82">
        <v>177.1121</v>
      </c>
      <c r="O45" s="50" t="s">
        <v>564</v>
      </c>
      <c r="P45" s="50">
        <v>-6.15</v>
      </c>
    </row>
    <row r="46" spans="1:52" x14ac:dyDescent="0.25">
      <c r="A46" s="38">
        <v>45</v>
      </c>
      <c r="B46" s="85" t="s">
        <v>864</v>
      </c>
      <c r="C46" s="85" t="s">
        <v>10</v>
      </c>
      <c r="D46" s="85" t="s">
        <v>181</v>
      </c>
      <c r="E46" s="82">
        <v>494.202764</v>
      </c>
      <c r="F46" s="86" t="s">
        <v>269</v>
      </c>
      <c r="G46" s="87" t="s">
        <v>269</v>
      </c>
      <c r="H46" s="85" t="s">
        <v>471</v>
      </c>
      <c r="I46" s="85" t="s">
        <v>865</v>
      </c>
      <c r="J46" s="85" t="s">
        <v>866</v>
      </c>
      <c r="K46" s="85" t="s">
        <v>139</v>
      </c>
      <c r="L46" s="82">
        <v>79.956199999999995</v>
      </c>
      <c r="M46" s="82">
        <v>96.959000000000003</v>
      </c>
      <c r="N46" s="82">
        <v>122.9756</v>
      </c>
      <c r="O46" s="50" t="s">
        <v>564</v>
      </c>
      <c r="P46" s="50">
        <v>-6.15</v>
      </c>
      <c r="AK46" s="85" t="s">
        <v>721</v>
      </c>
      <c r="AL46" s="85">
        <v>7.2</v>
      </c>
      <c r="AM46" s="85" t="s">
        <v>722</v>
      </c>
      <c r="AN46" s="85" t="s">
        <v>847</v>
      </c>
      <c r="AO46" s="85" t="s">
        <v>724</v>
      </c>
      <c r="AP46" s="85">
        <v>494.20331200599998</v>
      </c>
      <c r="AQ46" s="85">
        <v>495.21058845800002</v>
      </c>
      <c r="AR46" s="85">
        <v>512.23713756400002</v>
      </c>
      <c r="AS46" s="85">
        <v>517.19253308600003</v>
      </c>
      <c r="AT46" s="85">
        <v>493.19603555399999</v>
      </c>
      <c r="AU46" s="85" t="s">
        <v>564</v>
      </c>
      <c r="AV46" s="85" t="s">
        <v>564</v>
      </c>
      <c r="AW46" s="85">
        <v>-1.9934000000000001</v>
      </c>
      <c r="AX46" s="85">
        <v>-4.0250000000000004</v>
      </c>
      <c r="AY46" s="85">
        <v>-2.8765999999999998</v>
      </c>
      <c r="AZ46" s="85" t="b">
        <v>1</v>
      </c>
    </row>
    <row r="47" spans="1:52" x14ac:dyDescent="0.25">
      <c r="A47" s="38">
        <v>46</v>
      </c>
      <c r="B47" s="85" t="s">
        <v>867</v>
      </c>
      <c r="C47" s="85" t="s">
        <v>11</v>
      </c>
      <c r="D47" s="85" t="s">
        <v>182</v>
      </c>
      <c r="E47" s="82">
        <v>506.25690700000001</v>
      </c>
      <c r="F47" s="86" t="s">
        <v>269</v>
      </c>
      <c r="G47" s="87" t="s">
        <v>269</v>
      </c>
      <c r="H47" s="85" t="s">
        <v>472</v>
      </c>
      <c r="I47" s="85" t="s">
        <v>868</v>
      </c>
      <c r="J47" s="85" t="s">
        <v>869</v>
      </c>
      <c r="K47" s="85" t="s">
        <v>138</v>
      </c>
      <c r="L47" s="82">
        <v>89.059600000000003</v>
      </c>
      <c r="M47" s="82">
        <v>133.0847</v>
      </c>
      <c r="N47" s="82">
        <v>177.1121</v>
      </c>
      <c r="O47" s="50" t="s">
        <v>564</v>
      </c>
      <c r="P47" s="50">
        <v>-6.42</v>
      </c>
    </row>
    <row r="48" spans="1:52" x14ac:dyDescent="0.25">
      <c r="A48" s="38">
        <v>47</v>
      </c>
      <c r="B48" s="85" t="s">
        <v>867</v>
      </c>
      <c r="C48" s="85" t="s">
        <v>11</v>
      </c>
      <c r="D48" s="85" t="s">
        <v>182</v>
      </c>
      <c r="E48" s="82">
        <v>506.25690700000001</v>
      </c>
      <c r="F48" s="86" t="s">
        <v>269</v>
      </c>
      <c r="G48" s="87" t="s">
        <v>269</v>
      </c>
      <c r="H48" s="85" t="s">
        <v>472</v>
      </c>
      <c r="I48" s="85" t="s">
        <v>868</v>
      </c>
      <c r="J48" s="85" t="s">
        <v>869</v>
      </c>
      <c r="K48" s="85" t="s">
        <v>139</v>
      </c>
      <c r="L48" s="82">
        <v>79.956199999999995</v>
      </c>
      <c r="M48" s="82">
        <v>96.959000000000003</v>
      </c>
      <c r="N48" s="82">
        <v>122.9756</v>
      </c>
      <c r="O48" s="50" t="s">
        <v>564</v>
      </c>
      <c r="P48" s="50">
        <v>-6.42</v>
      </c>
      <c r="AK48" s="85" t="s">
        <v>721</v>
      </c>
      <c r="AL48" s="85">
        <v>7.6</v>
      </c>
      <c r="AM48" s="85" t="s">
        <v>722</v>
      </c>
      <c r="AN48" s="85" t="s">
        <v>847</v>
      </c>
      <c r="AO48" s="85" t="s">
        <v>724</v>
      </c>
      <c r="AP48" s="85">
        <v>538.22952675399995</v>
      </c>
      <c r="AQ48" s="85">
        <v>539.23680320599999</v>
      </c>
      <c r="AR48" s="85">
        <v>556.26335231200005</v>
      </c>
      <c r="AS48" s="85">
        <v>561.21874783400006</v>
      </c>
      <c r="AT48" s="85">
        <v>537.22225030200002</v>
      </c>
      <c r="AU48" s="85" t="s">
        <v>564</v>
      </c>
      <c r="AV48" s="85" t="s">
        <v>564</v>
      </c>
      <c r="AW48" s="85">
        <v>-2.1242999999999999</v>
      </c>
      <c r="AX48" s="85">
        <v>-4.2149999999999999</v>
      </c>
      <c r="AY48" s="85">
        <v>-3.1848000000000001</v>
      </c>
      <c r="AZ48" s="85" t="b">
        <v>1</v>
      </c>
    </row>
    <row r="49" spans="1:52" x14ac:dyDescent="0.25">
      <c r="A49" s="38">
        <v>48</v>
      </c>
      <c r="B49" s="85" t="s">
        <v>870</v>
      </c>
      <c r="C49" s="85" t="s">
        <v>12</v>
      </c>
      <c r="D49" s="85" t="s">
        <v>183</v>
      </c>
      <c r="E49" s="82">
        <v>582.25519299999996</v>
      </c>
      <c r="F49" s="86" t="s">
        <v>269</v>
      </c>
      <c r="G49" s="87" t="s">
        <v>269</v>
      </c>
      <c r="H49" s="85" t="s">
        <v>473</v>
      </c>
      <c r="I49" s="85" t="s">
        <v>871</v>
      </c>
      <c r="J49" s="85" t="s">
        <v>872</v>
      </c>
      <c r="K49" s="85" t="s">
        <v>138</v>
      </c>
      <c r="L49" s="82">
        <v>89.059600000000003</v>
      </c>
      <c r="M49" s="82">
        <v>133.0847</v>
      </c>
      <c r="N49" s="82">
        <v>177.1121</v>
      </c>
      <c r="O49" s="50" t="s">
        <v>564</v>
      </c>
      <c r="P49" s="50">
        <v>-6.7</v>
      </c>
    </row>
    <row r="50" spans="1:52" x14ac:dyDescent="0.25">
      <c r="A50" s="38">
        <v>49</v>
      </c>
      <c r="B50" s="85" t="s">
        <v>870</v>
      </c>
      <c r="C50" s="85" t="s">
        <v>12</v>
      </c>
      <c r="D50" s="85" t="s">
        <v>183</v>
      </c>
      <c r="E50" s="82">
        <v>582.25519299999996</v>
      </c>
      <c r="F50" s="86" t="s">
        <v>269</v>
      </c>
      <c r="G50" s="87" t="s">
        <v>269</v>
      </c>
      <c r="H50" s="85" t="s">
        <v>473</v>
      </c>
      <c r="I50" s="85" t="s">
        <v>871</v>
      </c>
      <c r="J50" s="85" t="s">
        <v>872</v>
      </c>
      <c r="K50" s="85" t="s">
        <v>139</v>
      </c>
      <c r="L50" s="82">
        <v>79.956199999999995</v>
      </c>
      <c r="M50" s="82">
        <v>96.959000000000003</v>
      </c>
      <c r="N50" s="82">
        <v>122.9756</v>
      </c>
      <c r="O50" s="50" t="s">
        <v>564</v>
      </c>
      <c r="P50" s="50">
        <v>-6.7</v>
      </c>
      <c r="AK50" s="85" t="s">
        <v>721</v>
      </c>
      <c r="AL50" s="85">
        <v>7.9</v>
      </c>
      <c r="AM50" s="85" t="s">
        <v>722</v>
      </c>
      <c r="AN50" s="85" t="s">
        <v>847</v>
      </c>
      <c r="AO50" s="85" t="s">
        <v>724</v>
      </c>
      <c r="AP50" s="85">
        <v>582.25574150199998</v>
      </c>
      <c r="AQ50" s="85">
        <v>583.26301795400002</v>
      </c>
      <c r="AR50" s="85">
        <v>600.28956705999997</v>
      </c>
      <c r="AS50" s="85">
        <v>605.24496258199997</v>
      </c>
      <c r="AT50" s="85">
        <v>581.24846505000005</v>
      </c>
      <c r="AU50" s="85" t="s">
        <v>564</v>
      </c>
      <c r="AV50" s="85" t="s">
        <v>564</v>
      </c>
      <c r="AW50" s="85">
        <v>-2.2551999999999999</v>
      </c>
      <c r="AX50" s="85">
        <v>-4.4050000000000002</v>
      </c>
      <c r="AY50" s="85">
        <v>-3.4931000000000001</v>
      </c>
      <c r="AZ50" s="85" t="b">
        <v>1</v>
      </c>
    </row>
    <row r="51" spans="1:52" x14ac:dyDescent="0.25">
      <c r="A51" s="38">
        <v>50</v>
      </c>
      <c r="B51" s="85" t="s">
        <v>873</v>
      </c>
      <c r="C51" s="85" t="s">
        <v>13</v>
      </c>
      <c r="D51" s="85" t="s">
        <v>184</v>
      </c>
      <c r="E51" s="82">
        <v>626.28140800000006</v>
      </c>
      <c r="F51" s="86" t="s">
        <v>269</v>
      </c>
      <c r="G51" s="87" t="s">
        <v>269</v>
      </c>
      <c r="H51" s="85" t="s">
        <v>474</v>
      </c>
      <c r="I51" s="85" t="s">
        <v>874</v>
      </c>
      <c r="J51" s="85" t="s">
        <v>875</v>
      </c>
      <c r="K51" s="85" t="s">
        <v>138</v>
      </c>
      <c r="L51" s="82">
        <v>89.059600000000003</v>
      </c>
      <c r="M51" s="82">
        <v>133.0847</v>
      </c>
      <c r="N51" s="82">
        <v>177.1121</v>
      </c>
      <c r="O51" s="50" t="s">
        <v>564</v>
      </c>
      <c r="P51" s="50">
        <v>-6.97</v>
      </c>
    </row>
    <row r="52" spans="1:52" x14ac:dyDescent="0.25">
      <c r="A52" s="38">
        <v>51</v>
      </c>
      <c r="B52" s="85" t="s">
        <v>873</v>
      </c>
      <c r="C52" s="85" t="s">
        <v>13</v>
      </c>
      <c r="D52" s="85" t="s">
        <v>184</v>
      </c>
      <c r="E52" s="82">
        <v>626.28140800000006</v>
      </c>
      <c r="F52" s="86" t="s">
        <v>269</v>
      </c>
      <c r="G52" s="87" t="s">
        <v>269</v>
      </c>
      <c r="H52" s="85" t="s">
        <v>474</v>
      </c>
      <c r="I52" s="85" t="s">
        <v>874</v>
      </c>
      <c r="J52" s="85" t="s">
        <v>875</v>
      </c>
      <c r="K52" s="85" t="s">
        <v>139</v>
      </c>
      <c r="L52" s="82">
        <v>79.956199999999995</v>
      </c>
      <c r="M52" s="82">
        <v>96.959000000000003</v>
      </c>
      <c r="N52" s="82">
        <v>122.9756</v>
      </c>
      <c r="O52" s="50" t="s">
        <v>564</v>
      </c>
      <c r="P52" s="50">
        <v>-6.97</v>
      </c>
      <c r="AK52" s="85" t="s">
        <v>721</v>
      </c>
      <c r="AL52" s="85">
        <v>8.1</v>
      </c>
      <c r="AM52" s="85" t="s">
        <v>722</v>
      </c>
      <c r="AN52" s="85" t="s">
        <v>847</v>
      </c>
      <c r="AO52" s="85" t="s">
        <v>724</v>
      </c>
      <c r="AP52" s="85">
        <v>626.28195625000001</v>
      </c>
      <c r="AQ52" s="85">
        <v>627.28923270200005</v>
      </c>
      <c r="AR52" s="85">
        <v>644.315781808</v>
      </c>
      <c r="AS52" s="85">
        <v>649.27117733</v>
      </c>
      <c r="AT52" s="85">
        <v>625.27467979799997</v>
      </c>
      <c r="AU52" s="85">
        <v>56980084</v>
      </c>
      <c r="AV52" s="85" t="s">
        <v>564</v>
      </c>
      <c r="AW52" s="85">
        <v>-2.3860999999999999</v>
      </c>
      <c r="AX52" s="85">
        <v>-4.5949999999999998</v>
      </c>
      <c r="AY52" s="85">
        <v>-3.8014000000000001</v>
      </c>
      <c r="AZ52" s="85" t="b">
        <v>1</v>
      </c>
    </row>
    <row r="53" spans="1:52" x14ac:dyDescent="0.25">
      <c r="A53" s="38">
        <v>52</v>
      </c>
      <c r="B53" s="85" t="s">
        <v>876</v>
      </c>
      <c r="C53" s="85" t="s">
        <v>14</v>
      </c>
      <c r="D53" s="85" t="s">
        <v>185</v>
      </c>
      <c r="E53" s="82">
        <v>670.30762300000004</v>
      </c>
      <c r="F53" s="86" t="s">
        <v>269</v>
      </c>
      <c r="G53" s="87" t="s">
        <v>269</v>
      </c>
      <c r="H53" s="85" t="s">
        <v>475</v>
      </c>
      <c r="I53" s="85" t="s">
        <v>877</v>
      </c>
      <c r="J53" s="85" t="s">
        <v>878</v>
      </c>
      <c r="K53" s="85" t="s">
        <v>138</v>
      </c>
      <c r="L53" s="82">
        <v>89.059600000000003</v>
      </c>
      <c r="M53" s="82">
        <v>133.0847</v>
      </c>
      <c r="N53" s="82">
        <v>177.1121</v>
      </c>
      <c r="O53" s="50">
        <v>-5.0999999999999996</v>
      </c>
      <c r="P53" s="50">
        <v>-7.25</v>
      </c>
    </row>
    <row r="54" spans="1:52" x14ac:dyDescent="0.25">
      <c r="A54" s="38">
        <v>53</v>
      </c>
      <c r="B54" s="85" t="s">
        <v>876</v>
      </c>
      <c r="C54" s="85" t="s">
        <v>14</v>
      </c>
      <c r="D54" s="85" t="s">
        <v>185</v>
      </c>
      <c r="E54" s="82">
        <v>670.30762300000004</v>
      </c>
      <c r="F54" s="86" t="s">
        <v>269</v>
      </c>
      <c r="G54" s="87" t="s">
        <v>269</v>
      </c>
      <c r="H54" s="85" t="s">
        <v>475</v>
      </c>
      <c r="I54" s="85" t="s">
        <v>877</v>
      </c>
      <c r="J54" s="85" t="s">
        <v>878</v>
      </c>
      <c r="K54" s="85" t="s">
        <v>139</v>
      </c>
      <c r="L54" s="82">
        <v>79.956199999999995</v>
      </c>
      <c r="M54" s="82">
        <v>96.959000000000003</v>
      </c>
      <c r="N54" s="82">
        <v>122.9756</v>
      </c>
      <c r="O54" s="50">
        <v>-5.0999999999999996</v>
      </c>
      <c r="P54" s="50">
        <v>-7.25</v>
      </c>
      <c r="AK54" s="85" t="s">
        <v>721</v>
      </c>
      <c r="AL54" s="85">
        <v>8.1999999999999993</v>
      </c>
      <c r="AM54" s="85" t="s">
        <v>722</v>
      </c>
      <c r="AN54" s="85" t="s">
        <v>847</v>
      </c>
      <c r="AO54" s="85" t="s">
        <v>724</v>
      </c>
      <c r="AP54" s="85">
        <v>670.30817099800004</v>
      </c>
      <c r="AQ54" s="85">
        <v>671.31544744999997</v>
      </c>
      <c r="AR54" s="85">
        <v>688.34199655600003</v>
      </c>
      <c r="AS54" s="85">
        <v>693.29739207800003</v>
      </c>
      <c r="AT54" s="85">
        <v>669.30089454599999</v>
      </c>
      <c r="AU54" s="85">
        <v>225932</v>
      </c>
      <c r="AV54" s="85">
        <v>196448</v>
      </c>
      <c r="AW54" s="85">
        <v>-2.5169999999999999</v>
      </c>
      <c r="AX54" s="85">
        <v>-4.7850000000000001</v>
      </c>
      <c r="AY54" s="85">
        <v>-4.1097000000000001</v>
      </c>
      <c r="AZ54" s="85" t="b">
        <v>1</v>
      </c>
    </row>
    <row r="55" spans="1:52" x14ac:dyDescent="0.25">
      <c r="A55" s="38">
        <v>54</v>
      </c>
      <c r="B55" s="85" t="s">
        <v>879</v>
      </c>
      <c r="C55" s="85" t="s">
        <v>15</v>
      </c>
      <c r="D55" s="85" t="s">
        <v>186</v>
      </c>
      <c r="E55" s="82">
        <v>714.33383700000002</v>
      </c>
      <c r="F55" s="86" t="s">
        <v>269</v>
      </c>
      <c r="G55" s="87" t="s">
        <v>269</v>
      </c>
      <c r="H55" s="85" t="s">
        <v>476</v>
      </c>
      <c r="I55" s="85" t="s">
        <v>880</v>
      </c>
      <c r="J55" s="85" t="s">
        <v>881</v>
      </c>
      <c r="K55" s="85" t="s">
        <v>138</v>
      </c>
      <c r="L55" s="82">
        <v>89.059600000000003</v>
      </c>
      <c r="M55" s="82">
        <v>133.0847</v>
      </c>
      <c r="N55" s="82">
        <v>177.1121</v>
      </c>
      <c r="O55" s="50" t="s">
        <v>564</v>
      </c>
      <c r="P55" s="50">
        <v>-7.52</v>
      </c>
    </row>
    <row r="56" spans="1:52" x14ac:dyDescent="0.25">
      <c r="A56" s="38">
        <v>55</v>
      </c>
      <c r="B56" s="85" t="s">
        <v>879</v>
      </c>
      <c r="C56" s="85" t="s">
        <v>15</v>
      </c>
      <c r="D56" s="85" t="s">
        <v>186</v>
      </c>
      <c r="E56" s="82">
        <v>714.33383700000002</v>
      </c>
      <c r="F56" s="86" t="s">
        <v>269</v>
      </c>
      <c r="G56" s="87" t="s">
        <v>269</v>
      </c>
      <c r="H56" s="85" t="s">
        <v>476</v>
      </c>
      <c r="I56" s="85" t="s">
        <v>880</v>
      </c>
      <c r="J56" s="85" t="s">
        <v>881</v>
      </c>
      <c r="K56" s="85" t="s">
        <v>139</v>
      </c>
      <c r="L56" s="82">
        <v>79.956199999999995</v>
      </c>
      <c r="M56" s="82">
        <v>96.959000000000003</v>
      </c>
      <c r="N56" s="82">
        <v>122.9756</v>
      </c>
      <c r="O56" s="50" t="s">
        <v>564</v>
      </c>
      <c r="P56" s="50">
        <v>-7.52</v>
      </c>
      <c r="AK56" s="85" t="s">
        <v>721</v>
      </c>
      <c r="AL56" s="85">
        <v>8.1999999999999993</v>
      </c>
      <c r="AM56" s="85" t="s">
        <v>722</v>
      </c>
      <c r="AN56" s="85" t="s">
        <v>847</v>
      </c>
      <c r="AO56" s="85" t="s">
        <v>724</v>
      </c>
      <c r="AP56" s="85">
        <v>714.33438574599995</v>
      </c>
      <c r="AQ56" s="85">
        <v>715.34166219799999</v>
      </c>
      <c r="AR56" s="85">
        <v>732.36821130400006</v>
      </c>
      <c r="AS56" s="85">
        <v>737.32360682599995</v>
      </c>
      <c r="AT56" s="85">
        <v>713.32710929400002</v>
      </c>
      <c r="AU56" s="85" t="s">
        <v>564</v>
      </c>
      <c r="AV56" s="85" t="s">
        <v>564</v>
      </c>
      <c r="AW56" s="85">
        <v>-2.6478999999999999</v>
      </c>
      <c r="AX56" s="85">
        <v>-4.9749999999999996</v>
      </c>
      <c r="AY56" s="85">
        <v>-4.4179000000000004</v>
      </c>
      <c r="AZ56" s="85" t="b">
        <v>1</v>
      </c>
    </row>
    <row r="57" spans="1:52" x14ac:dyDescent="0.25">
      <c r="A57" s="38">
        <v>56</v>
      </c>
      <c r="B57" s="85" t="s">
        <v>882</v>
      </c>
      <c r="C57" s="85" t="s">
        <v>16</v>
      </c>
      <c r="D57" s="85" t="s">
        <v>187</v>
      </c>
      <c r="E57" s="82">
        <v>758.36060099999997</v>
      </c>
      <c r="F57" s="86" t="s">
        <v>269</v>
      </c>
      <c r="G57" s="87" t="s">
        <v>269</v>
      </c>
      <c r="H57" s="85" t="s">
        <v>477</v>
      </c>
      <c r="I57" s="85" t="s">
        <v>883</v>
      </c>
      <c r="J57" s="85" t="s">
        <v>884</v>
      </c>
      <c r="K57" s="85" t="s">
        <v>138</v>
      </c>
      <c r="L57" s="82">
        <v>89.059600000000003</v>
      </c>
      <c r="M57" s="82">
        <v>133.0847</v>
      </c>
      <c r="N57" s="82">
        <v>177.1121</v>
      </c>
      <c r="O57" s="50" t="s">
        <v>564</v>
      </c>
      <c r="P57" s="50">
        <v>-7.8</v>
      </c>
    </row>
    <row r="58" spans="1:52" x14ac:dyDescent="0.25">
      <c r="A58" s="38">
        <v>57</v>
      </c>
      <c r="B58" s="85" t="s">
        <v>882</v>
      </c>
      <c r="C58" s="85" t="s">
        <v>16</v>
      </c>
      <c r="D58" s="85" t="s">
        <v>187</v>
      </c>
      <c r="E58" s="82">
        <v>758.36060099999997</v>
      </c>
      <c r="F58" s="86" t="s">
        <v>269</v>
      </c>
      <c r="G58" s="87" t="s">
        <v>269</v>
      </c>
      <c r="H58" s="85" t="s">
        <v>477</v>
      </c>
      <c r="I58" s="85" t="s">
        <v>883</v>
      </c>
      <c r="J58" s="85" t="s">
        <v>884</v>
      </c>
      <c r="K58" s="85" t="s">
        <v>139</v>
      </c>
      <c r="L58" s="82">
        <v>79.957363000000001</v>
      </c>
      <c r="M58" s="82">
        <v>96.960103000000004</v>
      </c>
      <c r="N58" s="82">
        <v>122.975753</v>
      </c>
      <c r="O58" s="50" t="s">
        <v>564</v>
      </c>
      <c r="P58" s="50">
        <v>-7.8</v>
      </c>
      <c r="AJ58" s="85" t="s">
        <v>854</v>
      </c>
      <c r="AK58" s="85" t="s">
        <v>721</v>
      </c>
      <c r="AL58" s="85">
        <v>4.7</v>
      </c>
      <c r="AM58" s="85" t="s">
        <v>722</v>
      </c>
      <c r="AN58" s="85" t="s">
        <v>723</v>
      </c>
      <c r="AO58" s="85" t="s">
        <v>724</v>
      </c>
      <c r="AP58" s="85">
        <v>758.36060049399998</v>
      </c>
      <c r="AQ58" s="85">
        <v>759.36787694600002</v>
      </c>
      <c r="AR58" s="85">
        <v>776.39442605199997</v>
      </c>
      <c r="AS58" s="85">
        <v>781.34982157399998</v>
      </c>
      <c r="AT58" s="85">
        <v>757.35332404200005</v>
      </c>
      <c r="AU58" s="85" t="s">
        <v>564</v>
      </c>
      <c r="AV58" s="85" t="s">
        <v>564</v>
      </c>
      <c r="AW58" s="85">
        <v>-2.7787999999999999</v>
      </c>
      <c r="AX58" s="85">
        <v>-5.165</v>
      </c>
      <c r="AY58" s="85">
        <v>-4.7262000000000004</v>
      </c>
      <c r="AZ58" s="85" t="b">
        <v>1</v>
      </c>
    </row>
    <row r="59" spans="1:52" x14ac:dyDescent="0.25">
      <c r="A59" s="38">
        <v>58</v>
      </c>
      <c r="B59" s="85" t="s">
        <v>885</v>
      </c>
      <c r="C59" s="85" t="s">
        <v>17</v>
      </c>
      <c r="D59" s="85" t="s">
        <v>188</v>
      </c>
      <c r="E59" s="82">
        <v>802.38681599999995</v>
      </c>
      <c r="F59" s="86" t="s">
        <v>269</v>
      </c>
      <c r="G59" s="87" t="s">
        <v>269</v>
      </c>
      <c r="H59" s="85" t="s">
        <v>478</v>
      </c>
      <c r="I59" s="85" t="s">
        <v>886</v>
      </c>
      <c r="J59" s="85" t="s">
        <v>887</v>
      </c>
      <c r="K59" s="85" t="s">
        <v>138</v>
      </c>
      <c r="L59" s="82">
        <v>89.059600000000003</v>
      </c>
      <c r="M59" s="82">
        <v>133.0847</v>
      </c>
      <c r="N59" s="82">
        <v>177.1121</v>
      </c>
      <c r="O59" s="50" t="s">
        <v>564</v>
      </c>
      <c r="P59" s="50">
        <v>-8.07</v>
      </c>
    </row>
    <row r="60" spans="1:52" x14ac:dyDescent="0.25">
      <c r="A60" s="38">
        <v>59</v>
      </c>
      <c r="B60" s="85" t="s">
        <v>885</v>
      </c>
      <c r="C60" s="85" t="s">
        <v>17</v>
      </c>
      <c r="D60" s="85" t="s">
        <v>188</v>
      </c>
      <c r="E60" s="82">
        <v>802.38681599999995</v>
      </c>
      <c r="F60" s="86" t="s">
        <v>269</v>
      </c>
      <c r="G60" s="87" t="s">
        <v>269</v>
      </c>
      <c r="H60" s="85" t="s">
        <v>478</v>
      </c>
      <c r="I60" s="85" t="s">
        <v>886</v>
      </c>
      <c r="J60" s="85" t="s">
        <v>887</v>
      </c>
      <c r="K60" s="85" t="s">
        <v>139</v>
      </c>
      <c r="L60" s="82">
        <v>79.957363000000001</v>
      </c>
      <c r="M60" s="82">
        <v>96.960103000000004</v>
      </c>
      <c r="N60" s="82">
        <v>122.975753</v>
      </c>
      <c r="O60" s="50" t="s">
        <v>564</v>
      </c>
      <c r="P60" s="50">
        <v>-8.07</v>
      </c>
      <c r="AJ60" s="85" t="s">
        <v>854</v>
      </c>
      <c r="AK60" s="85" t="s">
        <v>721</v>
      </c>
      <c r="AL60" s="85">
        <v>4.8</v>
      </c>
      <c r="AM60" s="85" t="s">
        <v>722</v>
      </c>
      <c r="AN60" s="85" t="s">
        <v>723</v>
      </c>
      <c r="AO60" s="85" t="s">
        <v>724</v>
      </c>
      <c r="AP60" s="85">
        <v>802.38681524200001</v>
      </c>
      <c r="AQ60" s="85">
        <v>803.39409169400005</v>
      </c>
      <c r="AR60" s="85">
        <v>820.4206408</v>
      </c>
      <c r="AS60" s="85">
        <v>825.376036322</v>
      </c>
      <c r="AT60" s="85">
        <v>801.37953878999997</v>
      </c>
      <c r="AU60" s="85" t="s">
        <v>564</v>
      </c>
      <c r="AV60" s="85" t="s">
        <v>564</v>
      </c>
      <c r="AW60" s="85">
        <v>-2.9097</v>
      </c>
      <c r="AX60" s="85">
        <v>-5.3550000000000004</v>
      </c>
      <c r="AY60" s="85">
        <v>-5.0345000000000004</v>
      </c>
      <c r="AZ60" s="85" t="b">
        <v>1</v>
      </c>
    </row>
    <row r="61" spans="1:52" x14ac:dyDescent="0.25">
      <c r="A61" s="38">
        <v>60</v>
      </c>
      <c r="B61" s="85" t="s">
        <v>888</v>
      </c>
      <c r="C61" s="85" t="s">
        <v>18</v>
      </c>
      <c r="D61" s="85" t="s">
        <v>189</v>
      </c>
      <c r="E61" s="82">
        <v>298.16026570000002</v>
      </c>
      <c r="F61" s="86" t="s">
        <v>889</v>
      </c>
      <c r="G61" s="87" t="s">
        <v>269</v>
      </c>
      <c r="H61" s="85" t="s">
        <v>479</v>
      </c>
      <c r="I61" s="85" t="s">
        <v>890</v>
      </c>
      <c r="J61" s="85" t="s">
        <v>891</v>
      </c>
      <c r="K61" s="85" t="s">
        <v>139</v>
      </c>
      <c r="L61" s="82">
        <v>183.01140000000001</v>
      </c>
      <c r="M61" s="82">
        <v>119.0504</v>
      </c>
      <c r="N61" s="82">
        <v>79.956500000000005</v>
      </c>
      <c r="O61" s="50">
        <v>5.71</v>
      </c>
      <c r="P61" s="50">
        <v>3.8</v>
      </c>
      <c r="AJ61" s="85">
        <v>90</v>
      </c>
      <c r="AK61" s="85" t="s">
        <v>892</v>
      </c>
      <c r="AL61" s="85">
        <v>11.5</v>
      </c>
      <c r="AM61" s="85" t="s">
        <v>722</v>
      </c>
      <c r="AN61" s="85" t="s">
        <v>723</v>
      </c>
      <c r="AO61" s="85" t="s">
        <v>724</v>
      </c>
      <c r="AP61" s="85">
        <v>298.16026542200001</v>
      </c>
      <c r="AQ61" s="85">
        <v>299.16754187399999</v>
      </c>
      <c r="AR61" s="85">
        <v>316.19409098</v>
      </c>
      <c r="AS61" s="85">
        <v>321.149486502</v>
      </c>
      <c r="AT61" s="85">
        <v>297.15298897000002</v>
      </c>
      <c r="AU61" s="85">
        <v>51834</v>
      </c>
      <c r="AV61" s="85">
        <v>46905</v>
      </c>
      <c r="AW61" s="85">
        <v>-0.91279999999999994</v>
      </c>
      <c r="AX61" s="85">
        <v>6.0039999999999996</v>
      </c>
      <c r="AY61" s="85">
        <v>13.3955</v>
      </c>
      <c r="AZ61" s="85" t="b">
        <v>1</v>
      </c>
    </row>
    <row r="62" spans="1:52" x14ac:dyDescent="0.25">
      <c r="A62" s="38">
        <v>61</v>
      </c>
      <c r="B62" s="85" t="s">
        <v>893</v>
      </c>
      <c r="C62" s="85" t="s">
        <v>19</v>
      </c>
      <c r="D62" s="85" t="s">
        <v>190</v>
      </c>
      <c r="E62" s="82">
        <v>312.17591579999998</v>
      </c>
      <c r="F62" s="86" t="s">
        <v>269</v>
      </c>
      <c r="G62" s="87" t="s">
        <v>269</v>
      </c>
      <c r="H62" s="85" t="s">
        <v>894</v>
      </c>
      <c r="I62" s="85" t="s">
        <v>895</v>
      </c>
      <c r="J62" s="85" t="s">
        <v>896</v>
      </c>
      <c r="K62" s="85" t="s">
        <v>139</v>
      </c>
      <c r="L62" s="82">
        <v>183.01150000000001</v>
      </c>
      <c r="M62" s="82">
        <v>119.0505</v>
      </c>
      <c r="N62" s="82">
        <v>79.956500000000005</v>
      </c>
      <c r="O62" s="50">
        <v>6.24</v>
      </c>
      <c r="P62" s="50">
        <v>4.29</v>
      </c>
      <c r="AJ62" s="85">
        <v>90</v>
      </c>
      <c r="AK62" s="85" t="s">
        <v>892</v>
      </c>
      <c r="AL62" s="85">
        <v>12</v>
      </c>
      <c r="AM62" s="85" t="s">
        <v>722</v>
      </c>
      <c r="AN62" s="85" t="s">
        <v>723</v>
      </c>
      <c r="AO62" s="85" t="s">
        <v>724</v>
      </c>
      <c r="AP62" s="85">
        <v>312.17591548600001</v>
      </c>
      <c r="AQ62" s="85">
        <v>313.18319193799999</v>
      </c>
      <c r="AR62" s="85">
        <v>330.209741044</v>
      </c>
      <c r="AS62" s="85">
        <v>335.165136566</v>
      </c>
      <c r="AT62" s="85">
        <v>311.16863903400002</v>
      </c>
      <c r="AU62" s="85">
        <v>15593874</v>
      </c>
      <c r="AV62" s="85">
        <v>34501333</v>
      </c>
      <c r="AW62" s="85">
        <v>-1.2008000000000001</v>
      </c>
      <c r="AX62" s="85">
        <v>6.5730000000000004</v>
      </c>
      <c r="AY62" s="85">
        <v>14.3187</v>
      </c>
      <c r="AZ62" s="85" t="b">
        <v>1</v>
      </c>
    </row>
    <row r="63" spans="1:52" x14ac:dyDescent="0.25">
      <c r="A63" s="38">
        <v>62</v>
      </c>
      <c r="B63" s="85" t="s">
        <v>897</v>
      </c>
      <c r="C63" s="85" t="s">
        <v>20</v>
      </c>
      <c r="D63" s="85" t="s">
        <v>191</v>
      </c>
      <c r="E63" s="82">
        <v>326.19156579999998</v>
      </c>
      <c r="F63" s="86" t="s">
        <v>269</v>
      </c>
      <c r="G63" s="87" t="s">
        <v>269</v>
      </c>
      <c r="H63" s="85" t="s">
        <v>480</v>
      </c>
      <c r="I63" s="85" t="s">
        <v>898</v>
      </c>
      <c r="J63" s="85" t="s">
        <v>899</v>
      </c>
      <c r="K63" s="85" t="s">
        <v>139</v>
      </c>
      <c r="L63" s="82">
        <v>183.01150000000001</v>
      </c>
      <c r="M63" s="82">
        <v>119.0505</v>
      </c>
      <c r="N63" s="82">
        <v>79.956500000000005</v>
      </c>
      <c r="O63" s="50">
        <v>6.78</v>
      </c>
      <c r="P63" s="50">
        <v>4.78</v>
      </c>
      <c r="AJ63" s="85">
        <v>90</v>
      </c>
      <c r="AK63" s="85" t="s">
        <v>892</v>
      </c>
      <c r="AL63" s="85">
        <v>12.5</v>
      </c>
      <c r="AM63" s="85" t="s">
        <v>722</v>
      </c>
      <c r="AN63" s="85" t="s">
        <v>723</v>
      </c>
      <c r="AO63" s="85" t="s">
        <v>724</v>
      </c>
      <c r="AP63" s="85">
        <v>326.19156555000001</v>
      </c>
      <c r="AQ63" s="85">
        <v>327.19884200199999</v>
      </c>
      <c r="AR63" s="85">
        <v>344.225391108</v>
      </c>
      <c r="AS63" s="85">
        <v>349.18078663</v>
      </c>
      <c r="AT63" s="85">
        <v>325.18428909800002</v>
      </c>
      <c r="AU63" s="85">
        <v>16652</v>
      </c>
      <c r="AV63" s="85">
        <v>15789</v>
      </c>
      <c r="AW63" s="85">
        <v>-1.4887999999999999</v>
      </c>
      <c r="AX63" s="85">
        <v>7.1420000000000003</v>
      </c>
      <c r="AY63" s="85">
        <v>15.241899999999999</v>
      </c>
      <c r="AZ63" s="85" t="b">
        <v>1</v>
      </c>
    </row>
    <row r="64" spans="1:52" x14ac:dyDescent="0.25">
      <c r="A64" s="38">
        <v>63</v>
      </c>
      <c r="B64" s="85" t="s">
        <v>900</v>
      </c>
      <c r="C64" s="85" t="s">
        <v>21</v>
      </c>
      <c r="D64" s="85" t="s">
        <v>192</v>
      </c>
      <c r="E64" s="82">
        <v>340.20721600000002</v>
      </c>
      <c r="F64" s="86" t="s">
        <v>269</v>
      </c>
      <c r="G64" s="87" t="s">
        <v>269</v>
      </c>
      <c r="H64" s="85" t="s">
        <v>481</v>
      </c>
      <c r="I64" s="85" t="s">
        <v>901</v>
      </c>
      <c r="J64" s="85" t="s">
        <v>902</v>
      </c>
      <c r="K64" s="85" t="s">
        <v>139</v>
      </c>
      <c r="L64" s="82">
        <v>183.01150000000001</v>
      </c>
      <c r="M64" s="82">
        <v>119.0505</v>
      </c>
      <c r="N64" s="82">
        <v>79.956500000000005</v>
      </c>
      <c r="O64" s="50">
        <v>7.31</v>
      </c>
      <c r="P64" s="50">
        <v>5.28</v>
      </c>
      <c r="AJ64" s="85">
        <v>90</v>
      </c>
      <c r="AK64" s="85" t="s">
        <v>892</v>
      </c>
      <c r="AL64" s="85" t="s">
        <v>269</v>
      </c>
      <c r="AM64" s="85" t="s">
        <v>722</v>
      </c>
      <c r="AN64" s="85" t="s">
        <v>723</v>
      </c>
      <c r="AO64" s="85" t="s">
        <v>724</v>
      </c>
      <c r="AP64" s="85">
        <v>340.20721561400001</v>
      </c>
      <c r="AQ64" s="85">
        <v>341.21449206599999</v>
      </c>
      <c r="AR64" s="85">
        <v>358.241041172</v>
      </c>
      <c r="AS64" s="85">
        <v>363.196436694</v>
      </c>
      <c r="AT64" s="85">
        <v>339.19993916200002</v>
      </c>
      <c r="AU64" s="85">
        <v>14921170</v>
      </c>
      <c r="AV64" s="85" t="s">
        <v>564</v>
      </c>
      <c r="AW64" s="85">
        <v>-1.7767999999999999</v>
      </c>
      <c r="AX64" s="85">
        <v>7.7110000000000003</v>
      </c>
      <c r="AY64" s="85">
        <v>16.165099999999999</v>
      </c>
      <c r="AZ64" s="85" t="b">
        <v>1</v>
      </c>
    </row>
    <row r="65" spans="1:52" x14ac:dyDescent="0.25">
      <c r="A65" s="38">
        <v>64</v>
      </c>
      <c r="B65" s="85" t="s">
        <v>903</v>
      </c>
      <c r="C65" s="85" t="s">
        <v>22</v>
      </c>
      <c r="D65" s="85" t="s">
        <v>193</v>
      </c>
      <c r="E65" s="82">
        <v>354.22286600000001</v>
      </c>
      <c r="F65" s="86" t="s">
        <v>269</v>
      </c>
      <c r="G65" s="87" t="s">
        <v>269</v>
      </c>
      <c r="H65" s="85" t="s">
        <v>482</v>
      </c>
      <c r="I65" s="85" t="s">
        <v>904</v>
      </c>
      <c r="J65" s="85" t="s">
        <v>905</v>
      </c>
      <c r="K65" s="85" t="s">
        <v>139</v>
      </c>
      <c r="L65" s="82">
        <v>183.01150000000001</v>
      </c>
      <c r="M65" s="82">
        <v>119.0505</v>
      </c>
      <c r="N65" s="82">
        <v>79.956500000000005</v>
      </c>
      <c r="O65" s="50">
        <v>7.84</v>
      </c>
      <c r="P65" s="50">
        <v>5.77</v>
      </c>
      <c r="AJ65" s="85">
        <v>90</v>
      </c>
      <c r="AK65" s="85" t="s">
        <v>892</v>
      </c>
      <c r="AL65" s="85" t="s">
        <v>269</v>
      </c>
      <c r="AM65" s="85" t="s">
        <v>722</v>
      </c>
      <c r="AN65" s="85" t="s">
        <v>723</v>
      </c>
      <c r="AO65" s="85" t="s">
        <v>724</v>
      </c>
      <c r="AP65" s="85">
        <v>354.22286567800001</v>
      </c>
      <c r="AQ65" s="85">
        <v>355.23014212999999</v>
      </c>
      <c r="AR65" s="85">
        <v>372.25669123599999</v>
      </c>
      <c r="AS65" s="85">
        <v>377.212086758</v>
      </c>
      <c r="AT65" s="85">
        <v>353.21558922600002</v>
      </c>
      <c r="AU65" s="85" t="s">
        <v>564</v>
      </c>
      <c r="AV65" s="85" t="s">
        <v>564</v>
      </c>
      <c r="AW65" s="85">
        <v>-2.0648</v>
      </c>
      <c r="AX65" s="85">
        <v>8.2799999999999994</v>
      </c>
      <c r="AY65" s="85">
        <v>17.0883</v>
      </c>
      <c r="AZ65" s="85" t="b">
        <v>1</v>
      </c>
    </row>
    <row r="66" spans="1:52" x14ac:dyDescent="0.25">
      <c r="A66" s="38">
        <v>65</v>
      </c>
      <c r="B66" s="85" t="s">
        <v>906</v>
      </c>
      <c r="C66" s="85" t="s">
        <v>0</v>
      </c>
      <c r="D66" s="85" t="s">
        <v>194</v>
      </c>
      <c r="E66" s="82">
        <v>300.10314469999997</v>
      </c>
      <c r="F66" s="86" t="s">
        <v>269</v>
      </c>
      <c r="G66" s="87" t="s">
        <v>269</v>
      </c>
      <c r="H66" s="85" t="s">
        <v>483</v>
      </c>
      <c r="I66" s="85" t="s">
        <v>907</v>
      </c>
      <c r="J66" s="85" t="s">
        <v>908</v>
      </c>
      <c r="K66" s="85" t="s">
        <v>139</v>
      </c>
      <c r="L66" s="82">
        <v>183.01213899999999</v>
      </c>
      <c r="M66" s="82">
        <v>79.957363000000001</v>
      </c>
      <c r="N66" s="82">
        <v>170.00431</v>
      </c>
      <c r="O66" s="50">
        <v>3.6</v>
      </c>
      <c r="P66" s="50">
        <v>1.51</v>
      </c>
      <c r="AJ66" s="85" t="s">
        <v>909</v>
      </c>
      <c r="AK66" s="85" t="s">
        <v>721</v>
      </c>
      <c r="AL66" s="85">
        <v>4.8</v>
      </c>
      <c r="AM66" s="85" t="s">
        <v>722</v>
      </c>
      <c r="AN66" s="85" t="s">
        <v>723</v>
      </c>
      <c r="AO66" s="85" t="s">
        <v>724</v>
      </c>
      <c r="AP66" s="85">
        <v>300.10314447000002</v>
      </c>
      <c r="AQ66" s="85">
        <v>301.110420922</v>
      </c>
      <c r="AR66" s="85">
        <v>318.13697002800001</v>
      </c>
      <c r="AS66" s="85">
        <v>323.09236555000001</v>
      </c>
      <c r="AT66" s="85">
        <v>299.09586801799998</v>
      </c>
      <c r="AU66" s="85" t="s">
        <v>564</v>
      </c>
      <c r="AV66" s="85" t="s">
        <v>564</v>
      </c>
      <c r="AW66" s="85">
        <v>-0.30509999999999998</v>
      </c>
      <c r="AX66" s="85">
        <v>2.992</v>
      </c>
      <c r="AY66" s="85">
        <v>8.5084999999999997</v>
      </c>
      <c r="AZ66" s="85" t="b">
        <v>1</v>
      </c>
    </row>
    <row r="67" spans="1:52" x14ac:dyDescent="0.25">
      <c r="A67" s="38">
        <v>66</v>
      </c>
      <c r="B67" s="85" t="s">
        <v>910</v>
      </c>
      <c r="C67" s="85" t="s">
        <v>87</v>
      </c>
      <c r="D67" s="85" t="s">
        <v>195</v>
      </c>
      <c r="E67" s="82">
        <v>95.036564999999996</v>
      </c>
      <c r="F67" s="86" t="s">
        <v>911</v>
      </c>
      <c r="G67" s="87" t="s">
        <v>269</v>
      </c>
      <c r="H67" s="85" t="s">
        <v>484</v>
      </c>
      <c r="I67" s="85" t="s">
        <v>912</v>
      </c>
      <c r="J67" s="85" t="s">
        <v>913</v>
      </c>
      <c r="K67" s="85" t="s">
        <v>138</v>
      </c>
      <c r="L67" s="82">
        <v>68.050299999999993</v>
      </c>
      <c r="M67" s="82">
        <v>78.034700000000001</v>
      </c>
      <c r="N67" s="82">
        <v>52.018230000000003</v>
      </c>
      <c r="O67" s="50">
        <v>0.64</v>
      </c>
      <c r="P67" s="50">
        <v>0.32</v>
      </c>
      <c r="AK67" s="85" t="s">
        <v>721</v>
      </c>
      <c r="AL67" s="85">
        <v>4.2</v>
      </c>
      <c r="AM67" s="85" t="s">
        <v>722</v>
      </c>
      <c r="AN67" s="85" t="s">
        <v>723</v>
      </c>
      <c r="AO67" s="85" t="s">
        <v>724</v>
      </c>
      <c r="AP67" s="85">
        <v>95.037113790000006</v>
      </c>
      <c r="AQ67" s="85">
        <v>96.044390242000006</v>
      </c>
      <c r="AR67" s="85">
        <v>113.070939348</v>
      </c>
      <c r="AS67" s="85">
        <v>118.02633487</v>
      </c>
      <c r="AT67" s="85">
        <v>94.029837337999993</v>
      </c>
      <c r="AU67" s="85">
        <v>7971</v>
      </c>
      <c r="AV67" s="85">
        <v>7683</v>
      </c>
      <c r="AW67" s="85">
        <v>-0.73780000000000001</v>
      </c>
      <c r="AX67" s="85">
        <v>0.36399999999999999</v>
      </c>
      <c r="AY67" s="85">
        <v>4.2446000000000002</v>
      </c>
      <c r="AZ67" s="85" t="b">
        <v>1</v>
      </c>
    </row>
    <row r="68" spans="1:52" x14ac:dyDescent="0.25">
      <c r="A68" s="38">
        <v>67</v>
      </c>
      <c r="B68" s="85" t="s">
        <v>105</v>
      </c>
      <c r="C68" s="85" t="s">
        <v>105</v>
      </c>
      <c r="D68" s="85" t="s">
        <v>196</v>
      </c>
      <c r="E68" s="82">
        <v>99.06841</v>
      </c>
      <c r="F68" s="86" t="s">
        <v>914</v>
      </c>
      <c r="G68" s="86" t="s">
        <v>915</v>
      </c>
      <c r="H68" s="85" t="s">
        <v>485</v>
      </c>
      <c r="I68" s="85" t="s">
        <v>916</v>
      </c>
      <c r="J68" s="85" t="s">
        <v>917</v>
      </c>
      <c r="K68" s="85" t="s">
        <v>138</v>
      </c>
      <c r="L68" s="82">
        <v>58.029600000000002</v>
      </c>
      <c r="M68" s="82">
        <v>69.033699999999996</v>
      </c>
      <c r="N68" s="82">
        <v>98.059600000000003</v>
      </c>
      <c r="O68" s="50">
        <v>-0.4</v>
      </c>
      <c r="P68" s="50">
        <v>-0.11</v>
      </c>
      <c r="AL68" s="85">
        <v>4.4000000000000004</v>
      </c>
      <c r="AP68" s="85">
        <v>99.068413918000005</v>
      </c>
      <c r="AQ68" s="85">
        <v>100.07569037</v>
      </c>
      <c r="AR68" s="85">
        <v>117.10223947599999</v>
      </c>
      <c r="AS68" s="85">
        <v>122.057634998</v>
      </c>
      <c r="AT68" s="85">
        <v>98.061137466000005</v>
      </c>
      <c r="AU68" s="85">
        <v>13387</v>
      </c>
      <c r="AV68" s="85">
        <v>12814</v>
      </c>
      <c r="AW68" s="85">
        <v>-0.77410000000000001</v>
      </c>
      <c r="AX68" s="85">
        <v>-0.17</v>
      </c>
      <c r="AY68" s="85">
        <v>3.3782000000000001</v>
      </c>
      <c r="AZ68" s="85" t="b">
        <v>1</v>
      </c>
    </row>
    <row r="69" spans="1:52" x14ac:dyDescent="0.25">
      <c r="A69" s="38">
        <v>68</v>
      </c>
      <c r="B69" s="85" t="s">
        <v>116</v>
      </c>
      <c r="C69" s="85" t="s">
        <v>116</v>
      </c>
      <c r="D69" s="85" t="s">
        <v>197</v>
      </c>
      <c r="E69" s="82">
        <v>236.095</v>
      </c>
      <c r="F69" s="86" t="s">
        <v>918</v>
      </c>
      <c r="G69" s="87" t="s">
        <v>269</v>
      </c>
      <c r="H69" s="85" t="s">
        <v>486</v>
      </c>
      <c r="I69" s="85" t="s">
        <v>919</v>
      </c>
      <c r="J69" s="85" t="s">
        <v>920</v>
      </c>
      <c r="K69" s="85" t="s">
        <v>138</v>
      </c>
      <c r="L69" s="82">
        <v>220.07570000000001</v>
      </c>
      <c r="M69" s="82">
        <v>194.09639999999999</v>
      </c>
      <c r="N69" s="82">
        <v>192.08080000000001</v>
      </c>
      <c r="O69" s="50">
        <v>2.67</v>
      </c>
      <c r="P69" s="50">
        <v>2.25</v>
      </c>
      <c r="AJ69" s="85">
        <v>45</v>
      </c>
      <c r="AK69" s="85" t="s">
        <v>892</v>
      </c>
      <c r="AL69" s="85">
        <v>7.8</v>
      </c>
      <c r="AM69" s="85" t="s">
        <v>921</v>
      </c>
      <c r="AN69" s="85" t="s">
        <v>922</v>
      </c>
      <c r="AO69" s="85" t="s">
        <v>923</v>
      </c>
      <c r="AP69" s="85">
        <v>236.09496302400001</v>
      </c>
      <c r="AQ69" s="85">
        <v>237.10223947599999</v>
      </c>
      <c r="AR69" s="85">
        <v>254.128788582</v>
      </c>
      <c r="AS69" s="85">
        <v>259.08418410399997</v>
      </c>
      <c r="AT69" s="85">
        <v>235.087686572</v>
      </c>
      <c r="AU69" s="85">
        <v>2554</v>
      </c>
      <c r="AV69" s="85">
        <v>2457</v>
      </c>
      <c r="AW69" s="85">
        <v>1.3621000000000001</v>
      </c>
      <c r="AX69" s="85">
        <v>2.2959999999999998</v>
      </c>
      <c r="AY69" s="85">
        <v>7.3792999999999997</v>
      </c>
      <c r="AZ69" s="85" t="b">
        <v>0</v>
      </c>
    </row>
    <row r="70" spans="1:52" x14ac:dyDescent="0.25">
      <c r="A70" s="38">
        <v>69</v>
      </c>
      <c r="B70" s="85" t="s">
        <v>924</v>
      </c>
      <c r="C70" s="85" t="s">
        <v>88</v>
      </c>
      <c r="D70" s="85" t="s">
        <v>198</v>
      </c>
      <c r="E70" s="82">
        <v>254.10550000000001</v>
      </c>
      <c r="F70" s="86" t="s">
        <v>925</v>
      </c>
      <c r="G70" s="87" t="s">
        <v>269</v>
      </c>
      <c r="H70" s="85" t="s">
        <v>487</v>
      </c>
      <c r="I70" s="85" t="s">
        <v>926</v>
      </c>
      <c r="J70" s="85" t="s">
        <v>927</v>
      </c>
      <c r="K70" s="85" t="s">
        <v>138</v>
      </c>
      <c r="L70" s="82">
        <v>237.1028</v>
      </c>
      <c r="M70" s="82">
        <v>194.09700000000001</v>
      </c>
      <c r="N70" s="82">
        <v>192.0813</v>
      </c>
      <c r="O70" s="50">
        <v>0.93</v>
      </c>
      <c r="P70" s="50">
        <v>0.93</v>
      </c>
      <c r="AJ70" s="85" t="s">
        <v>928</v>
      </c>
      <c r="AK70" s="85" t="s">
        <v>721</v>
      </c>
      <c r="AL70" s="85">
        <v>7.04</v>
      </c>
      <c r="AM70" s="85" t="s">
        <v>929</v>
      </c>
      <c r="AN70" s="85" t="s">
        <v>930</v>
      </c>
      <c r="AO70" s="85" t="s">
        <v>931</v>
      </c>
      <c r="AP70" s="85">
        <v>254.10552770800001</v>
      </c>
      <c r="AQ70" s="85">
        <v>255.11280416</v>
      </c>
      <c r="AR70" s="85">
        <v>272.139353266</v>
      </c>
      <c r="AS70" s="85">
        <v>277.094748788</v>
      </c>
      <c r="AT70" s="85">
        <v>253.098251256</v>
      </c>
      <c r="AU70" s="85">
        <v>114709</v>
      </c>
      <c r="AV70" s="85">
        <v>102704</v>
      </c>
      <c r="AW70" s="85">
        <v>0.44600000000000001</v>
      </c>
      <c r="AX70" s="85">
        <v>1.244</v>
      </c>
      <c r="AY70" s="85">
        <v>5.6723999999999997</v>
      </c>
      <c r="AZ70" s="85" t="b">
        <v>1</v>
      </c>
    </row>
    <row r="71" spans="1:52" x14ac:dyDescent="0.25">
      <c r="A71" s="38">
        <v>70</v>
      </c>
      <c r="B71" s="85" t="s">
        <v>89</v>
      </c>
      <c r="C71" s="85" t="s">
        <v>89</v>
      </c>
      <c r="D71" s="85" t="s">
        <v>199</v>
      </c>
      <c r="E71" s="82">
        <v>414.16133000000002</v>
      </c>
      <c r="F71" s="86" t="s">
        <v>932</v>
      </c>
      <c r="G71" s="87" t="s">
        <v>269</v>
      </c>
      <c r="H71" s="85" t="s">
        <v>488</v>
      </c>
      <c r="I71" s="85" t="s">
        <v>933</v>
      </c>
      <c r="J71" s="85" t="s">
        <v>934</v>
      </c>
      <c r="K71" s="85" t="s">
        <v>138</v>
      </c>
      <c r="L71" s="82">
        <v>178.04</v>
      </c>
      <c r="M71" s="82">
        <v>150.04</v>
      </c>
      <c r="N71" s="82">
        <v>109.0106</v>
      </c>
      <c r="O71" s="50">
        <v>3.63</v>
      </c>
      <c r="P71" s="50">
        <v>2.79</v>
      </c>
      <c r="AJ71" s="85">
        <v>33</v>
      </c>
      <c r="AK71" s="85" t="s">
        <v>721</v>
      </c>
      <c r="AL71" s="85">
        <v>7.3</v>
      </c>
      <c r="AM71" s="85" t="s">
        <v>921</v>
      </c>
      <c r="AN71" s="85" t="s">
        <v>922</v>
      </c>
      <c r="AO71" s="85" t="s">
        <v>923</v>
      </c>
      <c r="AP71" s="85">
        <v>414.161328062</v>
      </c>
      <c r="AQ71" s="85">
        <v>415.16860451399998</v>
      </c>
      <c r="AR71" s="85">
        <v>432.19515361999999</v>
      </c>
      <c r="AS71" s="85">
        <v>437.15054914199999</v>
      </c>
      <c r="AT71" s="85">
        <v>413.15405161000001</v>
      </c>
      <c r="AU71" s="85">
        <v>3076</v>
      </c>
      <c r="AV71" s="85">
        <v>2967</v>
      </c>
      <c r="AW71" s="85">
        <v>1.1271</v>
      </c>
      <c r="AX71" s="85">
        <v>2.839</v>
      </c>
      <c r="AY71" s="85">
        <v>8.2603000000000009</v>
      </c>
      <c r="AZ71" s="85" t="b">
        <v>0</v>
      </c>
    </row>
    <row r="72" spans="1:52" x14ac:dyDescent="0.25">
      <c r="A72" s="38">
        <v>71</v>
      </c>
      <c r="B72" s="85" t="s">
        <v>935</v>
      </c>
      <c r="C72" s="85" t="s">
        <v>90</v>
      </c>
      <c r="D72" s="85" t="s">
        <v>200</v>
      </c>
      <c r="E72" s="82">
        <v>372.1508</v>
      </c>
      <c r="F72" s="86" t="s">
        <v>936</v>
      </c>
      <c r="G72" s="86" t="s">
        <v>937</v>
      </c>
      <c r="H72" s="85" t="s">
        <v>489</v>
      </c>
      <c r="I72" s="85" t="s">
        <v>938</v>
      </c>
      <c r="J72" s="85" t="s">
        <v>939</v>
      </c>
      <c r="K72" s="85" t="s">
        <v>138</v>
      </c>
      <c r="L72" s="82">
        <v>178.03270000000001</v>
      </c>
      <c r="M72" s="82">
        <v>150.0377</v>
      </c>
      <c r="N72" s="82">
        <v>109.0106</v>
      </c>
      <c r="O72" s="50">
        <v>2.78</v>
      </c>
      <c r="P72" s="50">
        <v>1.29</v>
      </c>
      <c r="AJ72" s="85" t="s">
        <v>928</v>
      </c>
      <c r="AK72" s="85" t="s">
        <v>721</v>
      </c>
      <c r="AL72" s="85">
        <v>7.6</v>
      </c>
      <c r="AM72" s="85" t="s">
        <v>929</v>
      </c>
      <c r="AN72" s="85" t="s">
        <v>930</v>
      </c>
      <c r="AO72" s="85" t="s">
        <v>931</v>
      </c>
      <c r="AP72" s="85">
        <v>372.15076337800002</v>
      </c>
      <c r="AQ72" s="85">
        <v>373.15803983000001</v>
      </c>
      <c r="AR72" s="85">
        <v>390.18458893600001</v>
      </c>
      <c r="AS72" s="85">
        <v>395.13998445800001</v>
      </c>
      <c r="AT72" s="85">
        <v>371.14348692599998</v>
      </c>
      <c r="AU72" s="85">
        <v>91638</v>
      </c>
      <c r="AV72" s="85">
        <v>82743</v>
      </c>
      <c r="AW72" s="85">
        <v>0.748</v>
      </c>
      <c r="AX72" s="85">
        <v>2.528</v>
      </c>
      <c r="AY72" s="85">
        <v>7.7557</v>
      </c>
      <c r="AZ72" s="85" t="b">
        <v>1</v>
      </c>
    </row>
    <row r="73" spans="1:52" x14ac:dyDescent="0.25">
      <c r="A73" s="38">
        <v>72</v>
      </c>
      <c r="B73" s="85" t="s">
        <v>940</v>
      </c>
      <c r="C73" s="85" t="s">
        <v>275</v>
      </c>
      <c r="D73" s="85" t="s">
        <v>201</v>
      </c>
      <c r="E73" s="82">
        <v>400.14569999999998</v>
      </c>
      <c r="F73" s="86" t="s">
        <v>269</v>
      </c>
      <c r="G73" s="87" t="s">
        <v>269</v>
      </c>
      <c r="H73" s="85" t="s">
        <v>490</v>
      </c>
      <c r="I73" s="85" t="s">
        <v>941</v>
      </c>
      <c r="J73" s="85" t="s">
        <v>942</v>
      </c>
      <c r="K73" s="85" t="s">
        <v>138</v>
      </c>
      <c r="L73" s="82">
        <v>178.03270000000001</v>
      </c>
      <c r="M73" s="82">
        <v>150.0377</v>
      </c>
      <c r="N73" s="82">
        <v>109.0106</v>
      </c>
      <c r="O73" s="50">
        <v>3.14</v>
      </c>
      <c r="P73" s="50">
        <v>2.58</v>
      </c>
      <c r="AJ73" s="85" t="s">
        <v>928</v>
      </c>
      <c r="AK73" s="85" t="s">
        <v>721</v>
      </c>
      <c r="AL73" s="85">
        <v>8.67</v>
      </c>
      <c r="AM73" s="85" t="s">
        <v>929</v>
      </c>
      <c r="AN73" s="85" t="s">
        <v>930</v>
      </c>
      <c r="AO73" s="85" t="s">
        <v>931</v>
      </c>
      <c r="AP73" s="85">
        <v>400.145677998</v>
      </c>
      <c r="AQ73" s="85">
        <v>401.15295444999998</v>
      </c>
      <c r="AR73" s="85">
        <v>418.17950355599999</v>
      </c>
      <c r="AS73" s="85">
        <v>423.13489907799999</v>
      </c>
      <c r="AT73" s="85">
        <v>399.13840154600001</v>
      </c>
      <c r="AU73" s="85" t="s">
        <v>564</v>
      </c>
      <c r="AV73" s="85">
        <v>35031830</v>
      </c>
      <c r="AW73" s="85">
        <v>0.59119999999999995</v>
      </c>
      <c r="AX73" s="85">
        <v>2.6</v>
      </c>
      <c r="AY73" s="85">
        <v>7.8724999999999996</v>
      </c>
      <c r="AZ73" s="85" t="b">
        <v>1</v>
      </c>
    </row>
    <row r="74" spans="1:52" x14ac:dyDescent="0.25">
      <c r="A74" s="38">
        <v>73</v>
      </c>
      <c r="B74" s="85" t="s">
        <v>943</v>
      </c>
      <c r="C74" s="85" t="s">
        <v>276</v>
      </c>
      <c r="D74" s="85" t="s">
        <v>201</v>
      </c>
      <c r="E74" s="82">
        <v>400.14569999999998</v>
      </c>
      <c r="F74" s="86" t="s">
        <v>944</v>
      </c>
      <c r="G74" s="87" t="s">
        <v>269</v>
      </c>
      <c r="H74" s="85" t="s">
        <v>491</v>
      </c>
      <c r="I74" s="85" t="s">
        <v>945</v>
      </c>
      <c r="J74" s="85" t="s">
        <v>946</v>
      </c>
      <c r="K74" s="85" t="s">
        <v>138</v>
      </c>
      <c r="L74" s="82">
        <v>178.03270000000001</v>
      </c>
      <c r="M74" s="82">
        <v>150.0377</v>
      </c>
      <c r="N74" s="82">
        <v>109.0106</v>
      </c>
      <c r="O74" s="50">
        <v>2.98</v>
      </c>
      <c r="P74" s="50">
        <v>2.23</v>
      </c>
      <c r="AJ74" s="85" t="s">
        <v>928</v>
      </c>
      <c r="AK74" s="85" t="s">
        <v>721</v>
      </c>
      <c r="AL74" s="85">
        <v>7.03</v>
      </c>
      <c r="AM74" s="85" t="s">
        <v>929</v>
      </c>
      <c r="AN74" s="85" t="s">
        <v>930</v>
      </c>
      <c r="AO74" s="85" t="s">
        <v>931</v>
      </c>
      <c r="AP74" s="85">
        <v>400.145677998</v>
      </c>
      <c r="AQ74" s="85">
        <v>401.15295444999998</v>
      </c>
      <c r="AR74" s="85">
        <v>418.17950355599999</v>
      </c>
      <c r="AS74" s="85">
        <v>423.13489907799999</v>
      </c>
      <c r="AT74" s="85">
        <v>399.13840154600001</v>
      </c>
      <c r="AU74" s="85">
        <v>13100707</v>
      </c>
      <c r="AV74" s="85">
        <v>21896655</v>
      </c>
      <c r="AW74" s="85">
        <v>1.0626</v>
      </c>
      <c r="AX74" s="85">
        <v>2.5179999999999998</v>
      </c>
      <c r="AY74" s="85">
        <v>7.7394999999999996</v>
      </c>
      <c r="AZ74" s="85" t="b">
        <v>1</v>
      </c>
    </row>
    <row r="75" spans="1:52" x14ac:dyDescent="0.25">
      <c r="A75" s="38">
        <v>74</v>
      </c>
      <c r="B75" s="85" t="s">
        <v>53</v>
      </c>
      <c r="C75" s="85" t="s">
        <v>53</v>
      </c>
      <c r="D75" s="85" t="s">
        <v>202</v>
      </c>
      <c r="E75" s="82">
        <v>422.16219000000001</v>
      </c>
      <c r="F75" s="86" t="s">
        <v>947</v>
      </c>
      <c r="G75" s="87" t="s">
        <v>269</v>
      </c>
      <c r="H75" s="85" t="s">
        <v>492</v>
      </c>
      <c r="I75" s="85" t="s">
        <v>948</v>
      </c>
      <c r="J75" s="85" t="s">
        <v>949</v>
      </c>
      <c r="K75" s="85" t="s">
        <v>138</v>
      </c>
      <c r="L75" s="82">
        <v>180.08099999999999</v>
      </c>
      <c r="M75" s="82">
        <v>153.07</v>
      </c>
      <c r="N75" s="82">
        <v>207.09200000000001</v>
      </c>
      <c r="O75" s="50">
        <v>3.57</v>
      </c>
      <c r="P75" s="50">
        <v>4.01</v>
      </c>
      <c r="AJ75" s="85">
        <v>60</v>
      </c>
      <c r="AK75" s="85" t="s">
        <v>892</v>
      </c>
      <c r="AL75" s="85">
        <v>8.9499999999999993</v>
      </c>
      <c r="AM75" s="85" t="s">
        <v>921</v>
      </c>
      <c r="AN75" s="85" t="s">
        <v>922</v>
      </c>
      <c r="AO75" s="85" t="s">
        <v>923</v>
      </c>
      <c r="AP75" s="85">
        <v>422.16218712599999</v>
      </c>
      <c r="AQ75" s="85">
        <v>423.16946357799998</v>
      </c>
      <c r="AR75" s="85">
        <v>440.19601268399998</v>
      </c>
      <c r="AS75" s="85">
        <v>445.15140820599999</v>
      </c>
      <c r="AT75" s="85">
        <v>421.15491067400001</v>
      </c>
      <c r="AU75" s="85">
        <v>3961</v>
      </c>
      <c r="AV75" s="85">
        <v>3824</v>
      </c>
      <c r="AW75" s="85">
        <v>0.85550000000000004</v>
      </c>
      <c r="AX75" s="85">
        <v>6.024</v>
      </c>
      <c r="AY75" s="85">
        <v>13.427899999999999</v>
      </c>
      <c r="AZ75" s="85" t="b">
        <v>0</v>
      </c>
    </row>
    <row r="76" spans="1:52" x14ac:dyDescent="0.25">
      <c r="A76" s="38">
        <v>75</v>
      </c>
      <c r="B76" s="85" t="s">
        <v>53</v>
      </c>
      <c r="C76" s="85" t="s">
        <v>53</v>
      </c>
      <c r="D76" s="85" t="s">
        <v>202</v>
      </c>
      <c r="E76" s="82">
        <v>422.16219000000001</v>
      </c>
      <c r="F76" s="86" t="s">
        <v>947</v>
      </c>
      <c r="G76" s="87" t="s">
        <v>269</v>
      </c>
      <c r="H76" s="85" t="s">
        <v>492</v>
      </c>
      <c r="I76" s="85" t="s">
        <v>948</v>
      </c>
      <c r="J76" s="85" t="s">
        <v>949</v>
      </c>
      <c r="K76" s="85" t="s">
        <v>139</v>
      </c>
      <c r="L76" s="82">
        <v>127.00700000000001</v>
      </c>
      <c r="M76" s="82">
        <v>157.054</v>
      </c>
      <c r="N76" s="82">
        <v>179.08699999999999</v>
      </c>
      <c r="O76" s="50">
        <v>3.57</v>
      </c>
      <c r="P76" s="50">
        <v>4.01</v>
      </c>
      <c r="AJ76" s="85">
        <v>45</v>
      </c>
      <c r="AK76" s="85" t="s">
        <v>892</v>
      </c>
      <c r="AL76" s="85">
        <v>8.9499999999999993</v>
      </c>
      <c r="AM76" s="85" t="s">
        <v>921</v>
      </c>
      <c r="AN76" s="85" t="s">
        <v>922</v>
      </c>
      <c r="AO76" s="85" t="s">
        <v>923</v>
      </c>
      <c r="AP76" s="85">
        <v>422.16218712599999</v>
      </c>
      <c r="AQ76" s="85">
        <v>423.16946357799998</v>
      </c>
      <c r="AR76" s="85">
        <v>440.19601268399998</v>
      </c>
      <c r="AS76" s="85">
        <v>445.15140820599999</v>
      </c>
      <c r="AT76" s="85">
        <v>421.15491067400001</v>
      </c>
      <c r="AU76" s="85">
        <v>3961</v>
      </c>
      <c r="AV76" s="85">
        <v>3824</v>
      </c>
      <c r="AW76" s="85">
        <v>0.85550000000000004</v>
      </c>
      <c r="AX76" s="85">
        <v>6.024</v>
      </c>
      <c r="AY76" s="85">
        <v>13.427899999999999</v>
      </c>
      <c r="AZ76" s="85" t="b">
        <v>0</v>
      </c>
    </row>
    <row r="77" spans="1:52" x14ac:dyDescent="0.25">
      <c r="A77" s="38">
        <v>76</v>
      </c>
      <c r="B77" s="85" t="s">
        <v>950</v>
      </c>
      <c r="C77" s="85" t="s">
        <v>91</v>
      </c>
      <c r="D77" s="85" t="s">
        <v>203</v>
      </c>
      <c r="E77" s="82">
        <v>436.14150000000001</v>
      </c>
      <c r="F77" s="86" t="s">
        <v>951</v>
      </c>
      <c r="G77" s="87" t="s">
        <v>269</v>
      </c>
      <c r="H77" s="85" t="s">
        <v>493</v>
      </c>
      <c r="I77" s="85" t="s">
        <v>952</v>
      </c>
      <c r="J77" s="85" t="s">
        <v>953</v>
      </c>
      <c r="K77" s="85" t="s">
        <v>138</v>
      </c>
      <c r="L77" s="82">
        <v>235.0984</v>
      </c>
      <c r="M77" s="82">
        <v>207.09219999999999</v>
      </c>
      <c r="N77" s="82">
        <v>190.06569999999999</v>
      </c>
      <c r="O77" s="50">
        <v>4.79</v>
      </c>
      <c r="P77" s="50">
        <v>4.8099999999999996</v>
      </c>
      <c r="AJ77" s="85" t="s">
        <v>928</v>
      </c>
      <c r="AK77" s="85" t="s">
        <v>721</v>
      </c>
      <c r="AL77" s="85">
        <v>10.48</v>
      </c>
      <c r="AM77" s="85" t="s">
        <v>929</v>
      </c>
      <c r="AN77" s="85" t="s">
        <v>930</v>
      </c>
      <c r="AO77" s="85" t="s">
        <v>931</v>
      </c>
      <c r="AP77" s="85">
        <v>436.14145168200002</v>
      </c>
      <c r="AQ77" s="85">
        <v>437.14872813400001</v>
      </c>
      <c r="AR77" s="85">
        <v>454.17527724000001</v>
      </c>
      <c r="AS77" s="85">
        <v>459.13067276200002</v>
      </c>
      <c r="AT77" s="85">
        <v>435.13417522999998</v>
      </c>
      <c r="AU77" s="85">
        <v>108185</v>
      </c>
      <c r="AV77" s="85">
        <v>97264</v>
      </c>
      <c r="AW77" s="85">
        <v>1.0644</v>
      </c>
      <c r="AX77" s="85">
        <v>6.4530000000000003</v>
      </c>
      <c r="AY77" s="85">
        <v>14.124000000000001</v>
      </c>
      <c r="AZ77" s="85" t="b">
        <v>1</v>
      </c>
    </row>
    <row r="78" spans="1:52" x14ac:dyDescent="0.25">
      <c r="A78" s="38">
        <v>77</v>
      </c>
      <c r="B78" s="85" t="s">
        <v>117</v>
      </c>
      <c r="C78" s="85" t="s">
        <v>117</v>
      </c>
      <c r="D78" s="85" t="s">
        <v>204</v>
      </c>
      <c r="E78" s="82">
        <v>383.1667478</v>
      </c>
      <c r="F78" s="86" t="s">
        <v>954</v>
      </c>
      <c r="G78" s="87" t="s">
        <v>269</v>
      </c>
      <c r="H78" s="85" t="s">
        <v>494</v>
      </c>
      <c r="I78" s="85" t="s">
        <v>955</v>
      </c>
      <c r="J78" s="85" t="s">
        <v>956</v>
      </c>
      <c r="K78" s="85" t="s">
        <v>138</v>
      </c>
      <c r="L78" s="82">
        <v>253.0805</v>
      </c>
      <c r="M78" s="82">
        <v>221.10849999999999</v>
      </c>
      <c r="N78" s="82">
        <v>158.11510000000001</v>
      </c>
      <c r="O78" s="50">
        <v>1.57</v>
      </c>
      <c r="P78" s="50">
        <v>1.94</v>
      </c>
      <c r="AK78" s="85" t="s">
        <v>721</v>
      </c>
      <c r="AP78" s="85">
        <v>383.1667478</v>
      </c>
      <c r="AQ78" s="85">
        <v>384.17402425199998</v>
      </c>
      <c r="AR78" s="85">
        <v>401.20057335799999</v>
      </c>
      <c r="AS78" s="85">
        <v>406.15596887999999</v>
      </c>
      <c r="AT78" s="85">
        <v>382.15947134800001</v>
      </c>
      <c r="AU78" s="85">
        <v>5002</v>
      </c>
      <c r="AV78" s="85">
        <v>4827</v>
      </c>
      <c r="AW78" s="85">
        <v>0.87639999999999996</v>
      </c>
      <c r="AX78" s="85">
        <v>2.9470000000000001</v>
      </c>
      <c r="AY78" s="85">
        <v>8.4354999999999993</v>
      </c>
      <c r="AZ78" s="85" t="b">
        <v>0</v>
      </c>
    </row>
    <row r="79" spans="1:52" x14ac:dyDescent="0.25">
      <c r="A79" s="38">
        <v>78</v>
      </c>
      <c r="B79" s="85" t="s">
        <v>957</v>
      </c>
      <c r="C79" s="85" t="s">
        <v>92</v>
      </c>
      <c r="D79" s="85" t="s">
        <v>205</v>
      </c>
      <c r="E79" s="82">
        <v>295.11430000000001</v>
      </c>
      <c r="F79" s="86" t="s">
        <v>958</v>
      </c>
      <c r="G79" s="87" t="s">
        <v>269</v>
      </c>
      <c r="H79" s="85" t="s">
        <v>495</v>
      </c>
      <c r="I79" s="85" t="s">
        <v>959</v>
      </c>
      <c r="J79" s="85" t="s">
        <v>960</v>
      </c>
      <c r="K79" s="85" t="s">
        <v>138</v>
      </c>
      <c r="L79" s="82">
        <v>253.07990000000001</v>
      </c>
      <c r="M79" s="82">
        <v>221.1079</v>
      </c>
      <c r="N79" s="82">
        <v>210.0377</v>
      </c>
      <c r="O79" s="50">
        <v>2.15</v>
      </c>
      <c r="P79" s="50">
        <v>2.98</v>
      </c>
      <c r="AJ79" s="85" t="s">
        <v>928</v>
      </c>
      <c r="AK79" s="85" t="s">
        <v>721</v>
      </c>
      <c r="AL79" s="85">
        <v>8.49</v>
      </c>
      <c r="AM79" s="85" t="s">
        <v>929</v>
      </c>
      <c r="AN79" s="85" t="s">
        <v>930</v>
      </c>
      <c r="AO79" s="85" t="s">
        <v>931</v>
      </c>
      <c r="AP79" s="85">
        <v>295.11431830399999</v>
      </c>
      <c r="AQ79" s="85">
        <v>296.12159475599998</v>
      </c>
      <c r="AR79" s="85">
        <v>313.14814386199998</v>
      </c>
      <c r="AS79" s="85">
        <v>318.10353938399999</v>
      </c>
      <c r="AT79" s="85">
        <v>294.10704185200001</v>
      </c>
      <c r="AU79" s="85">
        <v>11369918</v>
      </c>
      <c r="AV79" s="85">
        <v>9544835</v>
      </c>
      <c r="AW79" s="85">
        <v>1.0107999999999999</v>
      </c>
      <c r="AX79" s="85">
        <v>3.6070000000000002</v>
      </c>
      <c r="AY79" s="85">
        <v>9.5063999999999993</v>
      </c>
      <c r="AZ79" s="85" t="b">
        <v>1</v>
      </c>
    </row>
    <row r="80" spans="1:52" x14ac:dyDescent="0.25">
      <c r="A80" s="38">
        <v>79</v>
      </c>
      <c r="B80" s="85" t="s">
        <v>93</v>
      </c>
      <c r="C80" s="85" t="s">
        <v>93</v>
      </c>
      <c r="D80" s="85" t="s">
        <v>206</v>
      </c>
      <c r="E80" s="82">
        <v>407.11810000000003</v>
      </c>
      <c r="F80" s="86" t="s">
        <v>961</v>
      </c>
      <c r="G80" s="86" t="s">
        <v>962</v>
      </c>
      <c r="H80" s="85" t="s">
        <v>496</v>
      </c>
      <c r="I80" s="85" t="s">
        <v>963</v>
      </c>
      <c r="J80" s="85" t="s">
        <v>964</v>
      </c>
      <c r="K80" s="85" t="s">
        <v>138</v>
      </c>
      <c r="L80" s="82">
        <v>235.0797</v>
      </c>
      <c r="M80" s="82">
        <v>193.0701</v>
      </c>
      <c r="N80" s="82">
        <v>174.0531</v>
      </c>
      <c r="O80" s="50">
        <v>1.3</v>
      </c>
      <c r="P80" s="50">
        <v>1.39</v>
      </c>
      <c r="AJ80" s="85" t="s">
        <v>928</v>
      </c>
      <c r="AK80" s="85" t="s">
        <v>721</v>
      </c>
      <c r="AL80" s="85">
        <v>5.73</v>
      </c>
      <c r="AM80" s="85" t="s">
        <v>929</v>
      </c>
      <c r="AN80" s="85" t="s">
        <v>930</v>
      </c>
      <c r="AO80" s="85" t="s">
        <v>931</v>
      </c>
      <c r="AP80" s="85">
        <v>407.11807935000002</v>
      </c>
      <c r="AQ80" s="85">
        <v>408.125355802</v>
      </c>
      <c r="AR80" s="85">
        <v>425.15190490800001</v>
      </c>
      <c r="AS80" s="85">
        <v>430.10730043000001</v>
      </c>
      <c r="AT80" s="85">
        <v>406.11080289799997</v>
      </c>
      <c r="AU80" s="85">
        <v>4369359</v>
      </c>
      <c r="AV80" s="85">
        <v>3571948</v>
      </c>
      <c r="AW80" s="85">
        <v>7.6899999999999996E-2</v>
      </c>
      <c r="AX80" s="85">
        <v>3.8490000000000002</v>
      </c>
      <c r="AY80" s="85">
        <v>9.8989999999999991</v>
      </c>
      <c r="AZ80" s="85" t="b">
        <v>1</v>
      </c>
    </row>
    <row r="81" spans="1:52" x14ac:dyDescent="0.25">
      <c r="A81" s="38">
        <v>80</v>
      </c>
      <c r="B81" s="85" t="s">
        <v>94</v>
      </c>
      <c r="C81" s="85" t="s">
        <v>94</v>
      </c>
      <c r="D81" s="85" t="s">
        <v>207</v>
      </c>
      <c r="E81" s="82">
        <v>303.19470000000001</v>
      </c>
      <c r="F81" s="86" t="s">
        <v>965</v>
      </c>
      <c r="G81" s="87" t="s">
        <v>269</v>
      </c>
      <c r="H81" s="85" t="s">
        <v>497</v>
      </c>
      <c r="I81" s="85" t="s">
        <v>966</v>
      </c>
      <c r="J81" s="85" t="s">
        <v>967</v>
      </c>
      <c r="K81" s="85" t="s">
        <v>138</v>
      </c>
      <c r="L81" s="82">
        <v>154.09800000000001</v>
      </c>
      <c r="M81" s="82">
        <v>97.076599999999999</v>
      </c>
      <c r="N81" s="82">
        <v>93.069900000000004</v>
      </c>
      <c r="O81" s="50" t="s">
        <v>564</v>
      </c>
      <c r="P81" s="50">
        <v>0.79</v>
      </c>
      <c r="AJ81" s="85" t="s">
        <v>928</v>
      </c>
      <c r="AK81" s="85" t="s">
        <v>721</v>
      </c>
      <c r="AL81" s="85">
        <v>2.41</v>
      </c>
      <c r="AM81" s="85" t="s">
        <v>929</v>
      </c>
      <c r="AN81" s="85" t="s">
        <v>930</v>
      </c>
      <c r="AO81" s="85" t="s">
        <v>931</v>
      </c>
      <c r="AP81" s="85">
        <v>303.19467707000001</v>
      </c>
      <c r="AQ81" s="85">
        <v>304.201953522</v>
      </c>
      <c r="AR81" s="85">
        <v>321.228502628</v>
      </c>
      <c r="AS81" s="85">
        <v>326.18389815</v>
      </c>
      <c r="AT81" s="85">
        <v>302.18740061800003</v>
      </c>
      <c r="AU81" s="85">
        <v>6918537</v>
      </c>
      <c r="AV81" s="85">
        <v>5293734</v>
      </c>
      <c r="AW81" s="85">
        <v>-3.2117</v>
      </c>
      <c r="AX81" s="85">
        <v>0.78600000000000003</v>
      </c>
      <c r="AY81" s="85">
        <v>4.9292999999999996</v>
      </c>
      <c r="AZ81" s="85" t="b">
        <v>1</v>
      </c>
    </row>
    <row r="82" spans="1:52" x14ac:dyDescent="0.25">
      <c r="A82" s="38">
        <v>81</v>
      </c>
      <c r="B82" s="85" t="s">
        <v>54</v>
      </c>
      <c r="C82" s="85" t="s">
        <v>54</v>
      </c>
      <c r="D82" s="85" t="s">
        <v>208</v>
      </c>
      <c r="E82" s="82">
        <v>345.11471</v>
      </c>
      <c r="F82" s="86" t="s">
        <v>968</v>
      </c>
      <c r="G82" s="87" t="s">
        <v>269</v>
      </c>
      <c r="H82" s="85" t="s">
        <v>498</v>
      </c>
      <c r="I82" s="85" t="s">
        <v>969</v>
      </c>
      <c r="J82" s="85" t="s">
        <v>970</v>
      </c>
      <c r="K82" s="85" t="s">
        <v>138</v>
      </c>
      <c r="L82" s="82">
        <v>198.0583</v>
      </c>
      <c r="M82" s="82">
        <v>180.0478</v>
      </c>
      <c r="N82" s="82">
        <v>136.07570000000001</v>
      </c>
      <c r="O82" s="50">
        <v>2.17</v>
      </c>
      <c r="P82" s="50">
        <v>3.4</v>
      </c>
      <c r="AJ82" s="85">
        <v>45</v>
      </c>
      <c r="AK82" s="85" t="s">
        <v>892</v>
      </c>
      <c r="AL82" s="85">
        <v>6</v>
      </c>
      <c r="AM82" s="85" t="s">
        <v>921</v>
      </c>
      <c r="AN82" s="85" t="s">
        <v>922</v>
      </c>
      <c r="AO82" s="85" t="s">
        <v>923</v>
      </c>
      <c r="AP82" s="85">
        <v>345.11471222799997</v>
      </c>
      <c r="AQ82" s="85">
        <v>346.12198868000002</v>
      </c>
      <c r="AR82" s="85">
        <v>363.14853778600002</v>
      </c>
      <c r="AS82" s="85">
        <v>368.10393330800002</v>
      </c>
      <c r="AT82" s="85">
        <v>344.10743577599999</v>
      </c>
      <c r="AU82" s="85">
        <v>4594</v>
      </c>
      <c r="AV82" s="85">
        <v>4433</v>
      </c>
      <c r="AW82" s="85">
        <v>-0.52190000000000003</v>
      </c>
      <c r="AX82" s="85">
        <v>0.60399999999999998</v>
      </c>
      <c r="AY82" s="85">
        <v>4.6340000000000003</v>
      </c>
      <c r="AZ82" s="85" t="b">
        <v>0</v>
      </c>
    </row>
    <row r="83" spans="1:52" x14ac:dyDescent="0.25">
      <c r="A83" s="38">
        <v>82</v>
      </c>
      <c r="B83" s="85" t="s">
        <v>54</v>
      </c>
      <c r="C83" s="85" t="s">
        <v>54</v>
      </c>
      <c r="D83" s="85" t="s">
        <v>208</v>
      </c>
      <c r="E83" s="82">
        <v>345.11471</v>
      </c>
      <c r="F83" s="86" t="s">
        <v>968</v>
      </c>
      <c r="G83" s="87" t="s">
        <v>269</v>
      </c>
      <c r="H83" s="85" t="s">
        <v>498</v>
      </c>
      <c r="I83" s="85" t="s">
        <v>969</v>
      </c>
      <c r="J83" s="85" t="s">
        <v>970</v>
      </c>
      <c r="K83" s="85" t="s">
        <v>139</v>
      </c>
      <c r="L83" s="82">
        <v>194.0155</v>
      </c>
      <c r="M83" s="82">
        <v>178.99209999999999</v>
      </c>
      <c r="N83" s="82">
        <v>147.02000000000001</v>
      </c>
      <c r="O83" s="50">
        <v>2.17</v>
      </c>
      <c r="P83" s="50">
        <v>3.4</v>
      </c>
      <c r="AJ83" s="85">
        <v>45</v>
      </c>
      <c r="AK83" s="85" t="s">
        <v>892</v>
      </c>
      <c r="AL83" s="85">
        <v>6</v>
      </c>
      <c r="AM83" s="85" t="s">
        <v>921</v>
      </c>
      <c r="AN83" s="85" t="s">
        <v>922</v>
      </c>
      <c r="AO83" s="85" t="s">
        <v>923</v>
      </c>
      <c r="AP83" s="85">
        <v>345.11471222799997</v>
      </c>
      <c r="AQ83" s="85">
        <v>346.12198868000002</v>
      </c>
      <c r="AR83" s="85">
        <v>363.14853778600002</v>
      </c>
      <c r="AS83" s="85">
        <v>368.10393330800002</v>
      </c>
      <c r="AT83" s="85">
        <v>344.10743577599999</v>
      </c>
      <c r="AU83" s="85">
        <v>4594</v>
      </c>
      <c r="AV83" s="85">
        <v>4433</v>
      </c>
      <c r="AW83" s="85">
        <v>-0.52190000000000003</v>
      </c>
      <c r="AX83" s="85">
        <v>0.60399999999999998</v>
      </c>
      <c r="AY83" s="85">
        <v>4.6340000000000003</v>
      </c>
      <c r="AZ83" s="85" t="b">
        <v>0</v>
      </c>
    </row>
    <row r="84" spans="1:52" x14ac:dyDescent="0.25">
      <c r="A84" s="38">
        <v>83</v>
      </c>
      <c r="B84" s="85" t="s">
        <v>971</v>
      </c>
      <c r="C84" s="85" t="s">
        <v>95</v>
      </c>
      <c r="D84" s="85" t="s">
        <v>209</v>
      </c>
      <c r="E84" s="82">
        <v>315.10410000000002</v>
      </c>
      <c r="F84" s="86" t="s">
        <v>972</v>
      </c>
      <c r="G84" s="87" t="s">
        <v>269</v>
      </c>
      <c r="H84" s="85" t="s">
        <v>499</v>
      </c>
      <c r="I84" s="85" t="s">
        <v>973</v>
      </c>
      <c r="J84" s="85" t="s">
        <v>974</v>
      </c>
      <c r="K84" s="85" t="s">
        <v>138</v>
      </c>
      <c r="L84" s="82">
        <v>168.04830000000001</v>
      </c>
      <c r="M84" s="82">
        <v>149.07149999999999</v>
      </c>
      <c r="N84" s="82">
        <v>136.0762</v>
      </c>
      <c r="O84" s="50">
        <v>1.57</v>
      </c>
      <c r="P84" s="50">
        <v>3.59</v>
      </c>
      <c r="AJ84" s="85" t="s">
        <v>928</v>
      </c>
      <c r="AK84" s="85" t="s">
        <v>721</v>
      </c>
      <c r="AL84" s="85">
        <v>6.81</v>
      </c>
      <c r="AM84" s="85" t="s">
        <v>929</v>
      </c>
      <c r="AN84" s="85" t="s">
        <v>930</v>
      </c>
      <c r="AO84" s="85" t="s">
        <v>931</v>
      </c>
      <c r="AP84" s="85">
        <v>315.104147544</v>
      </c>
      <c r="AQ84" s="85">
        <v>316.11142399599998</v>
      </c>
      <c r="AR84" s="85">
        <v>333.13797310199999</v>
      </c>
      <c r="AS84" s="85">
        <v>338.09336862399999</v>
      </c>
      <c r="AT84" s="85">
        <v>314.09687109200001</v>
      </c>
      <c r="AU84" s="85">
        <v>54055259</v>
      </c>
      <c r="AV84" s="85">
        <v>26606690</v>
      </c>
      <c r="AW84" s="85">
        <v>0.52539999999999998</v>
      </c>
      <c r="AX84" s="85">
        <v>2.3119999999999998</v>
      </c>
      <c r="AY84" s="85">
        <v>7.4051999999999998</v>
      </c>
      <c r="AZ84" s="85" t="b">
        <v>1</v>
      </c>
    </row>
    <row r="85" spans="1:52" x14ac:dyDescent="0.25">
      <c r="A85" s="38">
        <v>84</v>
      </c>
      <c r="B85" s="85" t="s">
        <v>55</v>
      </c>
      <c r="C85" s="85" t="s">
        <v>55</v>
      </c>
      <c r="D85" s="85" t="s">
        <v>210</v>
      </c>
      <c r="E85" s="82">
        <v>435.22699999999998</v>
      </c>
      <c r="F85" s="86" t="s">
        <v>975</v>
      </c>
      <c r="G85" s="87" t="s">
        <v>269</v>
      </c>
      <c r="H85" s="85" t="s">
        <v>500</v>
      </c>
      <c r="I85" s="85" t="s">
        <v>976</v>
      </c>
      <c r="J85" s="85" t="s">
        <v>977</v>
      </c>
      <c r="K85" s="85" t="s">
        <v>138</v>
      </c>
      <c r="L85" s="82">
        <v>291.14920000000001</v>
      </c>
      <c r="M85" s="82">
        <v>207.0917</v>
      </c>
      <c r="N85" s="82">
        <v>180.08080000000001</v>
      </c>
      <c r="O85" s="50">
        <v>4.75</v>
      </c>
      <c r="P85" s="50">
        <v>3.65</v>
      </c>
      <c r="AJ85" s="85">
        <v>45</v>
      </c>
      <c r="AK85" s="85" t="s">
        <v>892</v>
      </c>
      <c r="AL85" s="85">
        <v>11.1</v>
      </c>
      <c r="AM85" s="85" t="s">
        <v>921</v>
      </c>
      <c r="AN85" s="85" t="s">
        <v>922</v>
      </c>
      <c r="AO85" s="85" t="s">
        <v>923</v>
      </c>
      <c r="AP85" s="85">
        <v>435.227039838</v>
      </c>
      <c r="AQ85" s="85">
        <v>436.23431628999998</v>
      </c>
      <c r="AR85" s="85">
        <v>453.26086539599999</v>
      </c>
      <c r="AS85" s="85">
        <v>458.21626091799999</v>
      </c>
      <c r="AT85" s="85">
        <v>434.21976338600001</v>
      </c>
      <c r="AU85" s="85">
        <v>60846</v>
      </c>
      <c r="AV85" s="85">
        <v>54833</v>
      </c>
      <c r="AW85" s="85">
        <v>0.80610000000000004</v>
      </c>
      <c r="AX85" s="85">
        <v>5.7919999999999998</v>
      </c>
      <c r="AY85" s="85">
        <v>13.051500000000001</v>
      </c>
      <c r="AZ85" s="85" t="b">
        <v>0</v>
      </c>
    </row>
    <row r="86" spans="1:52" x14ac:dyDescent="0.25">
      <c r="A86" s="38">
        <v>85</v>
      </c>
      <c r="B86" s="85" t="s">
        <v>55</v>
      </c>
      <c r="C86" s="85" t="s">
        <v>55</v>
      </c>
      <c r="D86" s="85" t="s">
        <v>210</v>
      </c>
      <c r="E86" s="82">
        <v>435.22699999999998</v>
      </c>
      <c r="F86" s="86" t="s">
        <v>975</v>
      </c>
      <c r="G86" s="87" t="s">
        <v>269</v>
      </c>
      <c r="H86" s="85" t="s">
        <v>500</v>
      </c>
      <c r="I86" s="85" t="s">
        <v>976</v>
      </c>
      <c r="J86" s="85" t="s">
        <v>977</v>
      </c>
      <c r="K86" s="85" t="s">
        <v>139</v>
      </c>
      <c r="L86" s="82">
        <v>350.16219999999998</v>
      </c>
      <c r="M86" s="82">
        <v>304.15679999999998</v>
      </c>
      <c r="N86" s="82">
        <v>179.0866</v>
      </c>
      <c r="O86" s="50">
        <v>4.75</v>
      </c>
      <c r="P86" s="50">
        <v>3.65</v>
      </c>
      <c r="AJ86" s="85">
        <v>30</v>
      </c>
      <c r="AK86" s="85" t="s">
        <v>892</v>
      </c>
      <c r="AL86" s="85">
        <v>11.1</v>
      </c>
      <c r="AM86" s="85" t="s">
        <v>921</v>
      </c>
      <c r="AN86" s="85" t="s">
        <v>922</v>
      </c>
      <c r="AO86" s="85" t="s">
        <v>923</v>
      </c>
      <c r="AP86" s="85">
        <v>435.227039838</v>
      </c>
      <c r="AQ86" s="85">
        <v>436.23431628999998</v>
      </c>
      <c r="AR86" s="85">
        <v>453.26086539599999</v>
      </c>
      <c r="AS86" s="85">
        <v>458.21626091799999</v>
      </c>
      <c r="AT86" s="85">
        <v>434.21976338600001</v>
      </c>
      <c r="AU86" s="85">
        <v>60846</v>
      </c>
      <c r="AV86" s="85">
        <v>54833</v>
      </c>
      <c r="AW86" s="85">
        <v>0.80610000000000004</v>
      </c>
      <c r="AX86" s="85">
        <v>5.7919999999999998</v>
      </c>
      <c r="AY86" s="85">
        <v>13.051500000000001</v>
      </c>
      <c r="AZ86" s="85" t="b">
        <v>0</v>
      </c>
    </row>
    <row r="87" spans="1:52" x14ac:dyDescent="0.25">
      <c r="A87" s="38">
        <v>86</v>
      </c>
      <c r="B87" s="85" t="s">
        <v>978</v>
      </c>
      <c r="C87" s="85" t="s">
        <v>96</v>
      </c>
      <c r="D87" s="85" t="s">
        <v>211</v>
      </c>
      <c r="E87" s="82">
        <v>266.08037999999999</v>
      </c>
      <c r="F87" s="86" t="s">
        <v>979</v>
      </c>
      <c r="G87" s="87" t="s">
        <v>269</v>
      </c>
      <c r="H87" s="85" t="s">
        <v>501</v>
      </c>
      <c r="I87" s="85" t="s">
        <v>980</v>
      </c>
      <c r="J87" s="85" t="s">
        <v>981</v>
      </c>
      <c r="K87" s="85" t="s">
        <v>138</v>
      </c>
      <c r="L87" s="82">
        <v>206.05969999999999</v>
      </c>
      <c r="M87" s="82">
        <v>221.07060000000001</v>
      </c>
      <c r="N87" s="82">
        <v>249.07669999999999</v>
      </c>
      <c r="O87" s="50" t="s">
        <v>564</v>
      </c>
      <c r="P87" s="50">
        <v>1.83</v>
      </c>
      <c r="AJ87" s="85">
        <v>30</v>
      </c>
      <c r="AK87" s="85" t="s">
        <v>892</v>
      </c>
      <c r="AL87" s="85">
        <v>7.2</v>
      </c>
      <c r="AM87" s="85" t="s">
        <v>921</v>
      </c>
      <c r="AN87" s="85" t="s">
        <v>922</v>
      </c>
      <c r="AO87" s="85" t="s">
        <v>923</v>
      </c>
      <c r="AP87" s="85">
        <v>266.08037560000002</v>
      </c>
      <c r="AQ87" s="85">
        <v>267.08765205200001</v>
      </c>
      <c r="AR87" s="85">
        <v>284.11420115800001</v>
      </c>
      <c r="AS87" s="85">
        <v>289.06959668000002</v>
      </c>
      <c r="AT87" s="85">
        <v>265.07309914799998</v>
      </c>
      <c r="AU87" s="85">
        <v>19388302</v>
      </c>
      <c r="AV87" s="85">
        <v>14220337</v>
      </c>
      <c r="AW87" s="85">
        <v>1.5034000000000001</v>
      </c>
      <c r="AX87" s="85">
        <v>3.9129999999999998</v>
      </c>
      <c r="AY87" s="85">
        <v>10.002800000000001</v>
      </c>
      <c r="AZ87" s="85" t="b">
        <v>1</v>
      </c>
    </row>
    <row r="88" spans="1:52" x14ac:dyDescent="0.25">
      <c r="A88" s="38">
        <v>87</v>
      </c>
      <c r="B88" s="85" t="s">
        <v>98</v>
      </c>
      <c r="C88" s="85" t="s">
        <v>98</v>
      </c>
      <c r="D88" s="85" t="s">
        <v>212</v>
      </c>
      <c r="E88" s="82">
        <v>171.1259</v>
      </c>
      <c r="F88" s="86" t="s">
        <v>982</v>
      </c>
      <c r="G88" s="87" t="s">
        <v>269</v>
      </c>
      <c r="H88" s="85" t="s">
        <v>502</v>
      </c>
      <c r="I88" s="85" t="s">
        <v>983</v>
      </c>
      <c r="J88" s="85" t="s">
        <v>984</v>
      </c>
      <c r="K88" s="85" t="s">
        <v>138</v>
      </c>
      <c r="L88" s="82">
        <v>154.12260000000001</v>
      </c>
      <c r="M88" s="82">
        <v>137.09610000000001</v>
      </c>
      <c r="N88" s="82">
        <v>119.0855</v>
      </c>
      <c r="O88" s="50">
        <v>1.19</v>
      </c>
      <c r="P88" s="50">
        <v>-1.37</v>
      </c>
      <c r="AJ88" s="85">
        <v>60</v>
      </c>
      <c r="AK88" s="85" t="s">
        <v>892</v>
      </c>
      <c r="AL88" s="85">
        <v>6.85</v>
      </c>
      <c r="AM88" s="85" t="s">
        <v>921</v>
      </c>
      <c r="AN88" s="85" t="s">
        <v>922</v>
      </c>
      <c r="AO88" s="85" t="s">
        <v>923</v>
      </c>
      <c r="AP88" s="85">
        <v>171.125928794</v>
      </c>
      <c r="AQ88" s="85">
        <v>172.13320524599999</v>
      </c>
      <c r="AR88" s="85">
        <v>189.15975435199999</v>
      </c>
      <c r="AS88" s="85">
        <v>194.115149874</v>
      </c>
      <c r="AT88" s="85">
        <v>170.11865234199999</v>
      </c>
      <c r="AU88" s="85">
        <v>3446</v>
      </c>
      <c r="AV88" s="85">
        <v>3328</v>
      </c>
      <c r="AW88" s="85">
        <v>-2.0522999999999998</v>
      </c>
      <c r="AX88" s="85">
        <v>1.391</v>
      </c>
      <c r="AY88" s="85">
        <v>5.9108999999999998</v>
      </c>
      <c r="AZ88" s="85" t="b">
        <v>0</v>
      </c>
    </row>
    <row r="89" spans="1:52" x14ac:dyDescent="0.25">
      <c r="A89" s="38">
        <v>88</v>
      </c>
      <c r="B89" s="85" t="s">
        <v>985</v>
      </c>
      <c r="C89" s="85" t="s">
        <v>100</v>
      </c>
      <c r="D89" s="85" t="s">
        <v>213</v>
      </c>
      <c r="E89" s="82">
        <v>153.11536000000001</v>
      </c>
      <c r="F89" s="86" t="s">
        <v>986</v>
      </c>
      <c r="G89" s="87" t="s">
        <v>269</v>
      </c>
      <c r="H89" s="85" t="s">
        <v>503</v>
      </c>
      <c r="I89" s="85" t="s">
        <v>987</v>
      </c>
      <c r="J89" s="85" t="s">
        <v>988</v>
      </c>
      <c r="K89" s="85" t="s">
        <v>138</v>
      </c>
      <c r="L89" s="82">
        <v>95.084900000000005</v>
      </c>
      <c r="M89" s="82">
        <v>67.054400000000001</v>
      </c>
      <c r="N89" s="82">
        <v>55.055</v>
      </c>
      <c r="O89" s="50">
        <v>0.62</v>
      </c>
      <c r="P89" s="50">
        <v>1.91</v>
      </c>
      <c r="AL89" s="85">
        <v>7.2</v>
      </c>
      <c r="AP89" s="85">
        <v>153.11536411</v>
      </c>
      <c r="AQ89" s="85">
        <v>154.12264056199999</v>
      </c>
      <c r="AR89" s="85">
        <v>171.14918966799999</v>
      </c>
      <c r="AS89" s="85">
        <v>176.10458518999999</v>
      </c>
      <c r="AT89" s="85">
        <v>152.10808765799999</v>
      </c>
      <c r="AU89" s="85">
        <v>47457</v>
      </c>
      <c r="AV89" s="85">
        <v>43180</v>
      </c>
      <c r="AW89" s="85">
        <v>-1.6974</v>
      </c>
      <c r="AX89" s="85">
        <v>1.7470000000000001</v>
      </c>
      <c r="AY89" s="85">
        <v>6.4885000000000002</v>
      </c>
      <c r="AZ89" s="85" t="b">
        <v>1</v>
      </c>
    </row>
    <row r="90" spans="1:52" x14ac:dyDescent="0.25">
      <c r="A90" s="38">
        <v>89</v>
      </c>
      <c r="B90" s="85" t="s">
        <v>101</v>
      </c>
      <c r="C90" s="85" t="s">
        <v>101</v>
      </c>
      <c r="D90" s="85" t="s">
        <v>214</v>
      </c>
      <c r="E90" s="82">
        <v>272.17763000000002</v>
      </c>
      <c r="F90" s="86" t="s">
        <v>989</v>
      </c>
      <c r="G90" s="87" t="s">
        <v>269</v>
      </c>
      <c r="H90" s="85" t="s">
        <v>504</v>
      </c>
      <c r="I90" s="85" t="s">
        <v>990</v>
      </c>
      <c r="J90" s="85" t="s">
        <v>991</v>
      </c>
      <c r="K90" s="85" t="s">
        <v>138</v>
      </c>
      <c r="L90" s="82">
        <v>255.17330000000001</v>
      </c>
      <c r="M90" s="82">
        <v>225.1267</v>
      </c>
      <c r="N90" s="82">
        <v>212.1551</v>
      </c>
      <c r="O90" s="50">
        <v>5.5</v>
      </c>
      <c r="P90" s="50">
        <v>5.26</v>
      </c>
      <c r="AL90" s="85">
        <v>15.2</v>
      </c>
      <c r="AP90" s="85">
        <v>272.17763000799999</v>
      </c>
      <c r="AQ90" s="85">
        <v>273.18490645999998</v>
      </c>
      <c r="AR90" s="85">
        <v>290.21145556599998</v>
      </c>
      <c r="AS90" s="85">
        <v>295.16685108799999</v>
      </c>
      <c r="AT90" s="85">
        <v>271.17035355600001</v>
      </c>
      <c r="AU90" s="85">
        <v>69131857</v>
      </c>
      <c r="AV90" s="85">
        <v>28290252</v>
      </c>
      <c r="AW90" s="85">
        <v>2.9085000000000001</v>
      </c>
      <c r="AX90" s="85">
        <v>5.33</v>
      </c>
      <c r="AY90" s="85">
        <v>12.3019</v>
      </c>
      <c r="AZ90" s="85" t="b">
        <v>1</v>
      </c>
    </row>
    <row r="91" spans="1:52" x14ac:dyDescent="0.25">
      <c r="A91" s="38">
        <v>90</v>
      </c>
      <c r="B91" s="85" t="s">
        <v>102</v>
      </c>
      <c r="C91" s="85" t="s">
        <v>102</v>
      </c>
      <c r="D91" s="85" t="s">
        <v>215</v>
      </c>
      <c r="E91" s="82">
        <v>102.05415000000001</v>
      </c>
      <c r="F91" s="86" t="s">
        <v>992</v>
      </c>
      <c r="G91" s="86" t="s">
        <v>993</v>
      </c>
      <c r="H91" s="85" t="s">
        <v>505</v>
      </c>
      <c r="I91" s="85" t="s">
        <v>994</v>
      </c>
      <c r="J91" s="85" t="s">
        <v>995</v>
      </c>
      <c r="K91" s="85" t="s">
        <v>138</v>
      </c>
      <c r="L91" s="82">
        <v>60.055599999999998</v>
      </c>
      <c r="M91" s="82">
        <v>86.034899999999993</v>
      </c>
      <c r="N91" s="82">
        <v>69.008349999999993</v>
      </c>
      <c r="O91" s="50">
        <v>-1.89</v>
      </c>
      <c r="P91" s="50">
        <v>-3.57</v>
      </c>
      <c r="AJ91" s="85">
        <v>30</v>
      </c>
      <c r="AK91" s="85" t="s">
        <v>892</v>
      </c>
      <c r="AL91" s="85">
        <v>0.8</v>
      </c>
      <c r="AM91" s="85" t="s">
        <v>921</v>
      </c>
      <c r="AN91" s="85" t="s">
        <v>922</v>
      </c>
      <c r="AO91" s="85" t="s">
        <v>923</v>
      </c>
      <c r="AP91" s="85">
        <v>102.054160852</v>
      </c>
      <c r="AQ91" s="85">
        <v>103.06143730399999</v>
      </c>
      <c r="AR91" s="85">
        <v>120.08798641</v>
      </c>
      <c r="AS91" s="85">
        <v>125.043381932</v>
      </c>
      <c r="AT91" s="85">
        <v>101.0468844</v>
      </c>
      <c r="AU91" s="85">
        <v>8859</v>
      </c>
      <c r="AV91" s="85">
        <v>8527</v>
      </c>
      <c r="AW91" s="85">
        <v>-0.58589999999999998</v>
      </c>
      <c r="AX91" s="85">
        <v>-1.4530000000000001</v>
      </c>
      <c r="AY91" s="85">
        <v>1.2965</v>
      </c>
      <c r="AZ91" s="85" t="b">
        <v>1</v>
      </c>
    </row>
    <row r="92" spans="1:52" x14ac:dyDescent="0.25">
      <c r="A92" s="38">
        <v>91</v>
      </c>
      <c r="B92" s="85" t="s">
        <v>996</v>
      </c>
      <c r="C92" s="85" t="s">
        <v>103</v>
      </c>
      <c r="D92" s="85" t="s">
        <v>216</v>
      </c>
      <c r="E92" s="82">
        <v>446.24302</v>
      </c>
      <c r="F92" s="86" t="s">
        <v>997</v>
      </c>
      <c r="G92" s="86" t="s">
        <v>997</v>
      </c>
      <c r="H92" s="85" t="s">
        <v>506</v>
      </c>
      <c r="I92" s="85" t="s">
        <v>998</v>
      </c>
      <c r="J92" s="85" t="s">
        <v>999</v>
      </c>
      <c r="K92" s="85" t="s">
        <v>138</v>
      </c>
      <c r="L92" s="82">
        <v>84.080500000000001</v>
      </c>
      <c r="M92" s="82">
        <v>180.08099999999999</v>
      </c>
      <c r="N92" s="82">
        <v>207.09200000000001</v>
      </c>
      <c r="O92" s="50">
        <v>3.11</v>
      </c>
      <c r="P92" s="50">
        <v>2.65</v>
      </c>
      <c r="AJ92" s="85">
        <v>60</v>
      </c>
      <c r="AK92" s="85" t="s">
        <v>892</v>
      </c>
      <c r="AL92" s="85">
        <v>9.25</v>
      </c>
      <c r="AM92" s="85" t="s">
        <v>921</v>
      </c>
      <c r="AN92" s="85" t="s">
        <v>922</v>
      </c>
      <c r="AO92" s="85" t="s">
        <v>923</v>
      </c>
      <c r="AP92" s="85">
        <v>446.24302426000003</v>
      </c>
      <c r="AQ92" s="85">
        <v>447.25030071200001</v>
      </c>
      <c r="AR92" s="85">
        <v>464.27684981800002</v>
      </c>
      <c r="AS92" s="85">
        <v>469.23224534000002</v>
      </c>
      <c r="AT92" s="85">
        <v>445.23574780799999</v>
      </c>
      <c r="AU92" s="85">
        <v>68617604</v>
      </c>
      <c r="AV92" s="85">
        <v>27524630</v>
      </c>
      <c r="AW92" s="85">
        <v>-0.35439999999999999</v>
      </c>
      <c r="AX92" s="85">
        <v>5.2709999999999999</v>
      </c>
      <c r="AY92" s="85">
        <v>12.206200000000001</v>
      </c>
      <c r="AZ92" s="85" t="b">
        <v>1</v>
      </c>
    </row>
    <row r="93" spans="1:52" x14ac:dyDescent="0.25">
      <c r="A93" s="38">
        <v>92</v>
      </c>
      <c r="B93" s="85" t="s">
        <v>106</v>
      </c>
      <c r="C93" s="85" t="s">
        <v>106</v>
      </c>
      <c r="D93" s="85" t="s">
        <v>217</v>
      </c>
      <c r="E93" s="82">
        <v>165.07898</v>
      </c>
      <c r="F93" s="86" t="s">
        <v>1000</v>
      </c>
      <c r="G93" s="87" t="s">
        <v>269</v>
      </c>
      <c r="H93" s="85" t="s">
        <v>507</v>
      </c>
      <c r="I93" s="85" t="s">
        <v>1001</v>
      </c>
      <c r="J93" s="85" t="s">
        <v>1002</v>
      </c>
      <c r="K93" s="85" t="s">
        <v>138</v>
      </c>
      <c r="L93" s="82">
        <v>120.07980000000001</v>
      </c>
      <c r="M93" s="82">
        <v>103.0534</v>
      </c>
      <c r="N93" s="82">
        <v>77.038499999999999</v>
      </c>
      <c r="O93" s="50">
        <v>1.1100000000000001</v>
      </c>
      <c r="P93" s="50">
        <v>-1.28</v>
      </c>
      <c r="AL93" s="85">
        <v>4.3</v>
      </c>
      <c r="AP93" s="85">
        <v>165.07897860200001</v>
      </c>
      <c r="AQ93" s="85">
        <v>166.08625505399999</v>
      </c>
      <c r="AR93" s="85">
        <v>183.11280416</v>
      </c>
      <c r="AS93" s="85">
        <v>188.068199682</v>
      </c>
      <c r="AT93" s="85">
        <v>164.07170214999999</v>
      </c>
      <c r="AU93" s="85">
        <v>994</v>
      </c>
      <c r="AV93" s="85">
        <v>969</v>
      </c>
      <c r="AW93" s="85">
        <v>0.1234</v>
      </c>
      <c r="AX93" s="85">
        <v>-1.379</v>
      </c>
      <c r="AY93" s="85">
        <v>1.4166000000000001</v>
      </c>
      <c r="AZ93" s="85" t="b">
        <v>1</v>
      </c>
    </row>
    <row r="94" spans="1:52" x14ac:dyDescent="0.25">
      <c r="A94" s="38">
        <v>93</v>
      </c>
      <c r="B94" s="85" t="s">
        <v>2</v>
      </c>
      <c r="C94" s="85" t="s">
        <v>2</v>
      </c>
      <c r="D94" s="85" t="s">
        <v>218</v>
      </c>
      <c r="E94" s="82">
        <v>245.91544999999999</v>
      </c>
      <c r="F94" s="86" t="s">
        <v>1003</v>
      </c>
      <c r="G94" s="87" t="s">
        <v>269</v>
      </c>
      <c r="H94" s="85" t="s">
        <v>508</v>
      </c>
      <c r="I94" s="85" t="s">
        <v>1004</v>
      </c>
      <c r="J94" s="85" t="s">
        <v>1005</v>
      </c>
      <c r="K94" s="85" t="s">
        <v>138</v>
      </c>
      <c r="L94" s="82">
        <v>244.90860000000001</v>
      </c>
      <c r="M94" s="82">
        <v>174.9693</v>
      </c>
      <c r="N94" s="82" t="s">
        <v>564</v>
      </c>
      <c r="O94" s="50">
        <v>3.71</v>
      </c>
      <c r="P94" s="50">
        <v>3.09</v>
      </c>
      <c r="AJ94" s="85" t="s">
        <v>1006</v>
      </c>
      <c r="AK94" s="85" t="s">
        <v>721</v>
      </c>
      <c r="AL94" s="85">
        <v>3.54</v>
      </c>
      <c r="AM94" s="85" t="s">
        <v>1007</v>
      </c>
      <c r="AN94" s="85" t="s">
        <v>1008</v>
      </c>
      <c r="AO94" s="85" t="s">
        <v>1009</v>
      </c>
      <c r="AP94" s="85">
        <v>245.91544580199999</v>
      </c>
      <c r="AQ94" s="85">
        <v>246.92272225400001</v>
      </c>
      <c r="AR94" s="85">
        <v>263.94927136000001</v>
      </c>
      <c r="AS94" s="85">
        <v>268.90466688200001</v>
      </c>
      <c r="AT94" s="85">
        <v>244.90816935000001</v>
      </c>
      <c r="AU94" s="85">
        <v>34217</v>
      </c>
      <c r="AV94" s="85">
        <v>31530</v>
      </c>
      <c r="AW94" s="85">
        <v>1.6246</v>
      </c>
      <c r="AX94" s="85">
        <v>2.9279999999999999</v>
      </c>
      <c r="AY94" s="85">
        <v>8.4047000000000001</v>
      </c>
      <c r="AZ94" s="85" t="b">
        <v>1</v>
      </c>
    </row>
    <row r="95" spans="1:52" x14ac:dyDescent="0.25">
      <c r="A95" s="38">
        <v>94</v>
      </c>
      <c r="B95" s="85" t="s">
        <v>2</v>
      </c>
      <c r="C95" s="85" t="s">
        <v>2</v>
      </c>
      <c r="D95" s="85" t="s">
        <v>218</v>
      </c>
      <c r="E95" s="82" t="s">
        <v>564</v>
      </c>
      <c r="F95" s="86" t="s">
        <v>1003</v>
      </c>
      <c r="G95" s="87" t="s">
        <v>269</v>
      </c>
      <c r="H95" s="85" t="s">
        <v>508</v>
      </c>
      <c r="I95" s="85" t="s">
        <v>1004</v>
      </c>
      <c r="J95" s="85" t="s">
        <v>1005</v>
      </c>
      <c r="K95" s="85" t="s">
        <v>139</v>
      </c>
      <c r="L95" s="82" t="s">
        <v>564</v>
      </c>
      <c r="M95" s="82" t="s">
        <v>564</v>
      </c>
      <c r="N95" s="82" t="s">
        <v>564</v>
      </c>
      <c r="O95" s="50">
        <v>3.71</v>
      </c>
      <c r="P95" s="50">
        <v>3.09</v>
      </c>
    </row>
    <row r="96" spans="1:52" x14ac:dyDescent="0.25">
      <c r="A96" s="38">
        <v>95</v>
      </c>
      <c r="B96" s="85" t="s">
        <v>51</v>
      </c>
      <c r="C96" s="85" t="s">
        <v>51</v>
      </c>
      <c r="D96" s="85" t="s">
        <v>219</v>
      </c>
      <c r="E96" s="82">
        <v>499.93749402200001</v>
      </c>
      <c r="F96" s="86" t="s">
        <v>1010</v>
      </c>
      <c r="G96" s="87" t="s">
        <v>269</v>
      </c>
      <c r="H96" s="85" t="s">
        <v>509</v>
      </c>
      <c r="I96" s="85" t="s">
        <v>1011</v>
      </c>
      <c r="J96" s="85" t="s">
        <v>1012</v>
      </c>
      <c r="K96" s="85" t="s">
        <v>139</v>
      </c>
      <c r="L96" s="82">
        <v>79.958399999999997</v>
      </c>
      <c r="M96" s="82">
        <v>118.9906</v>
      </c>
      <c r="N96" s="82">
        <v>229.94909999999999</v>
      </c>
      <c r="O96" s="50">
        <v>7.03</v>
      </c>
      <c r="P96" s="50">
        <v>4.49</v>
      </c>
      <c r="AJ96" s="85" t="s">
        <v>1013</v>
      </c>
      <c r="AK96" s="85" t="s">
        <v>1013</v>
      </c>
      <c r="AP96" s="85">
        <v>499.93749402200001</v>
      </c>
      <c r="AQ96" s="85">
        <v>500.94477047399999</v>
      </c>
      <c r="AR96" s="85">
        <v>517.97131958</v>
      </c>
      <c r="AS96" s="85">
        <v>522.926715102</v>
      </c>
      <c r="AT96" s="85">
        <v>498.93021757000002</v>
      </c>
      <c r="AU96" s="85">
        <v>74483</v>
      </c>
      <c r="AV96" s="85">
        <v>67068</v>
      </c>
      <c r="AW96" s="85">
        <v>4.5014000000000003</v>
      </c>
      <c r="AX96" s="85">
        <v>6.3319999999999999</v>
      </c>
      <c r="AY96" s="85">
        <v>13.9277</v>
      </c>
      <c r="AZ96" s="85" t="b">
        <v>0</v>
      </c>
    </row>
    <row r="97" spans="1:52" x14ac:dyDescent="0.25">
      <c r="A97" s="38">
        <v>96</v>
      </c>
      <c r="B97" s="85" t="s">
        <v>1014</v>
      </c>
      <c r="C97" s="85" t="s">
        <v>23</v>
      </c>
      <c r="D97" s="85" t="s">
        <v>220</v>
      </c>
      <c r="E97" s="82" t="s">
        <v>564</v>
      </c>
      <c r="F97" s="86" t="s">
        <v>269</v>
      </c>
      <c r="G97" s="87" t="s">
        <v>269</v>
      </c>
      <c r="H97" s="85" t="s">
        <v>510</v>
      </c>
      <c r="I97" s="85" t="s">
        <v>1015</v>
      </c>
      <c r="J97" s="85" t="s">
        <v>1016</v>
      </c>
      <c r="K97" s="85" t="s">
        <v>138</v>
      </c>
      <c r="L97" s="82" t="s">
        <v>564</v>
      </c>
      <c r="M97" s="82" t="s">
        <v>564</v>
      </c>
      <c r="N97" s="82" t="s">
        <v>564</v>
      </c>
      <c r="O97" s="50" t="s">
        <v>564</v>
      </c>
      <c r="P97" s="50">
        <v>3.77</v>
      </c>
    </row>
    <row r="98" spans="1:52" x14ac:dyDescent="0.25">
      <c r="A98" s="38">
        <v>97</v>
      </c>
      <c r="B98" s="85" t="s">
        <v>1014</v>
      </c>
      <c r="C98" s="85" t="s">
        <v>23</v>
      </c>
      <c r="D98" s="85" t="s">
        <v>220</v>
      </c>
      <c r="E98" s="82">
        <v>414.90651000000003</v>
      </c>
      <c r="F98" s="86" t="s">
        <v>269</v>
      </c>
      <c r="G98" s="87" t="s">
        <v>269</v>
      </c>
      <c r="H98" s="85" t="s">
        <v>510</v>
      </c>
      <c r="I98" s="85" t="s">
        <v>1015</v>
      </c>
      <c r="J98" s="85" t="s">
        <v>1016</v>
      </c>
      <c r="K98" s="85" t="s">
        <v>139</v>
      </c>
      <c r="L98" s="83">
        <v>79.958100000000002</v>
      </c>
      <c r="M98" s="83">
        <v>98.957599999999999</v>
      </c>
      <c r="N98" s="83">
        <v>414.90629999999999</v>
      </c>
      <c r="O98" s="50" t="s">
        <v>564</v>
      </c>
      <c r="P98" s="50">
        <v>3.77</v>
      </c>
      <c r="AJ98" s="85" t="s">
        <v>1017</v>
      </c>
      <c r="AK98" s="85" t="s">
        <v>721</v>
      </c>
      <c r="AL98" s="85">
        <v>4.8899999999999997</v>
      </c>
      <c r="AM98" s="85" t="s">
        <v>1018</v>
      </c>
      <c r="AN98" s="85" t="s">
        <v>1008</v>
      </c>
      <c r="AO98" s="85" t="s">
        <v>1009</v>
      </c>
      <c r="AP98" s="85">
        <v>415.914330732</v>
      </c>
      <c r="AQ98" s="85">
        <v>416.92160718399998</v>
      </c>
      <c r="AR98" s="85">
        <v>433.94815628999999</v>
      </c>
      <c r="AS98" s="85">
        <v>438.90355181199999</v>
      </c>
      <c r="AT98" s="85">
        <v>414.90705428000001</v>
      </c>
      <c r="AU98" s="85" t="s">
        <v>564</v>
      </c>
      <c r="AV98" s="85" t="s">
        <v>564</v>
      </c>
      <c r="AW98" s="85">
        <v>3.7149000000000001</v>
      </c>
      <c r="AX98" s="85">
        <v>4.7069999999999999</v>
      </c>
      <c r="AY98" s="85">
        <v>11.2911</v>
      </c>
      <c r="AZ98" s="85" t="b">
        <v>1</v>
      </c>
    </row>
    <row r="99" spans="1:52" x14ac:dyDescent="0.25">
      <c r="A99" s="38">
        <v>98</v>
      </c>
      <c r="B99" s="85" t="s">
        <v>1019</v>
      </c>
      <c r="C99" s="85" t="s">
        <v>24</v>
      </c>
      <c r="D99" s="85" t="s">
        <v>221</v>
      </c>
      <c r="E99" s="82" t="s">
        <v>564</v>
      </c>
      <c r="F99" s="86" t="s">
        <v>269</v>
      </c>
      <c r="G99" s="87" t="s">
        <v>269</v>
      </c>
      <c r="H99" s="85" t="s">
        <v>511</v>
      </c>
      <c r="I99" s="85" t="s">
        <v>1020</v>
      </c>
      <c r="J99" s="85" t="s">
        <v>1021</v>
      </c>
      <c r="K99" s="85" t="s">
        <v>138</v>
      </c>
      <c r="L99" s="82" t="s">
        <v>564</v>
      </c>
      <c r="M99" s="82" t="s">
        <v>564</v>
      </c>
      <c r="N99" s="82" t="s">
        <v>564</v>
      </c>
      <c r="O99" s="50" t="s">
        <v>564</v>
      </c>
      <c r="P99" s="50">
        <v>5.0999999999999996</v>
      </c>
    </row>
    <row r="100" spans="1:52" x14ac:dyDescent="0.25">
      <c r="A100" s="38">
        <v>99</v>
      </c>
      <c r="B100" s="85" t="s">
        <v>1019</v>
      </c>
      <c r="C100" s="85" t="s">
        <v>24</v>
      </c>
      <c r="D100" s="85" t="s">
        <v>221</v>
      </c>
      <c r="E100" s="82">
        <v>515.90795000000003</v>
      </c>
      <c r="F100" s="86" t="s">
        <v>269</v>
      </c>
      <c r="G100" s="87" t="s">
        <v>269</v>
      </c>
      <c r="H100" s="85" t="s">
        <v>511</v>
      </c>
      <c r="I100" s="85" t="s">
        <v>1020</v>
      </c>
      <c r="J100" s="85" t="s">
        <v>1021</v>
      </c>
      <c r="K100" s="85" t="s">
        <v>139</v>
      </c>
      <c r="L100" s="83">
        <v>79.959000000000003</v>
      </c>
      <c r="M100" s="83">
        <v>98.956599999999995</v>
      </c>
      <c r="N100" s="83">
        <v>514.90530000000001</v>
      </c>
      <c r="O100" s="50" t="s">
        <v>564</v>
      </c>
      <c r="P100" s="50">
        <v>5.0999999999999996</v>
      </c>
      <c r="AJ100" s="85" t="s">
        <v>1017</v>
      </c>
      <c r="AK100" s="85" t="s">
        <v>721</v>
      </c>
      <c r="AL100" s="85" t="s">
        <v>1022</v>
      </c>
      <c r="AM100" s="85" t="s">
        <v>1018</v>
      </c>
      <c r="AN100" s="85" t="s">
        <v>1008</v>
      </c>
      <c r="AO100" s="85" t="s">
        <v>1009</v>
      </c>
      <c r="AP100" s="85">
        <v>515.90794353199999</v>
      </c>
      <c r="AQ100" s="85">
        <v>516.91521998400003</v>
      </c>
      <c r="AR100" s="85">
        <v>533.94176908999998</v>
      </c>
      <c r="AS100" s="85">
        <v>538.89716461199998</v>
      </c>
      <c r="AT100" s="85">
        <v>514.90066707999995</v>
      </c>
      <c r="AU100" s="85">
        <v>87556140</v>
      </c>
      <c r="AV100" s="85" t="s">
        <v>564</v>
      </c>
      <c r="AW100" s="85">
        <v>4.6981000000000002</v>
      </c>
      <c r="AX100" s="85">
        <v>6.4690000000000003</v>
      </c>
      <c r="AY100" s="85">
        <v>14.15</v>
      </c>
      <c r="AZ100" s="85" t="b">
        <v>1</v>
      </c>
    </row>
    <row r="101" spans="1:52" x14ac:dyDescent="0.25">
      <c r="A101" s="38">
        <v>100</v>
      </c>
      <c r="B101" s="85" t="s">
        <v>1023</v>
      </c>
      <c r="C101" s="85" t="s">
        <v>25</v>
      </c>
      <c r="D101" s="85" t="s">
        <v>222</v>
      </c>
      <c r="E101" s="82" t="s">
        <v>564</v>
      </c>
      <c r="F101" s="86" t="s">
        <v>269</v>
      </c>
      <c r="G101" s="87" t="s">
        <v>269</v>
      </c>
      <c r="H101" s="85" t="s">
        <v>512</v>
      </c>
      <c r="I101" s="85" t="s">
        <v>1024</v>
      </c>
      <c r="J101" s="85" t="s">
        <v>1025</v>
      </c>
      <c r="K101" s="85" t="s">
        <v>138</v>
      </c>
      <c r="L101" s="82" t="s">
        <v>564</v>
      </c>
      <c r="M101" s="82" t="s">
        <v>564</v>
      </c>
      <c r="N101" s="82" t="s">
        <v>564</v>
      </c>
      <c r="O101" s="50" t="s">
        <v>564</v>
      </c>
      <c r="P101" s="50">
        <v>3.3</v>
      </c>
    </row>
    <row r="102" spans="1:52" x14ac:dyDescent="0.25">
      <c r="A102" s="38">
        <v>101</v>
      </c>
      <c r="B102" s="85" t="s">
        <v>1023</v>
      </c>
      <c r="C102" s="85" t="s">
        <v>25</v>
      </c>
      <c r="D102" s="85" t="s">
        <v>222</v>
      </c>
      <c r="E102" s="82">
        <v>414.93097</v>
      </c>
      <c r="F102" s="86" t="s">
        <v>269</v>
      </c>
      <c r="G102" s="87" t="s">
        <v>269</v>
      </c>
      <c r="H102" s="85" t="s">
        <v>512</v>
      </c>
      <c r="I102" s="85" t="s">
        <v>1024</v>
      </c>
      <c r="J102" s="85" t="s">
        <v>1025</v>
      </c>
      <c r="K102" s="85" t="s">
        <v>139</v>
      </c>
      <c r="L102" s="83">
        <v>79.959299999999999</v>
      </c>
      <c r="M102" s="83">
        <v>84.991600000000005</v>
      </c>
      <c r="N102" s="83">
        <v>98.956999999999994</v>
      </c>
      <c r="O102" s="50" t="s">
        <v>564</v>
      </c>
      <c r="P102" s="50">
        <v>3.3</v>
      </c>
      <c r="AJ102" s="85" t="s">
        <v>1017</v>
      </c>
      <c r="AK102" s="85" t="s">
        <v>721</v>
      </c>
      <c r="AL102" s="85">
        <v>4.9400000000000004</v>
      </c>
      <c r="AM102" s="85" t="s">
        <v>1018</v>
      </c>
      <c r="AN102" s="85" t="s">
        <v>1008</v>
      </c>
      <c r="AO102" s="85" t="s">
        <v>1009</v>
      </c>
      <c r="AP102" s="85">
        <v>415.93879584199999</v>
      </c>
      <c r="AQ102" s="85">
        <v>416.94607229399998</v>
      </c>
      <c r="AR102" s="85">
        <v>433.97262139999998</v>
      </c>
      <c r="AS102" s="85">
        <v>438.92801692199998</v>
      </c>
      <c r="AT102" s="85">
        <v>414.93151939000001</v>
      </c>
      <c r="AU102" s="85" t="s">
        <v>564</v>
      </c>
      <c r="AV102" s="85" t="s">
        <v>564</v>
      </c>
      <c r="AW102" s="85">
        <v>5.0082000000000004</v>
      </c>
      <c r="AX102" s="85">
        <v>4.0339999999999998</v>
      </c>
      <c r="AY102" s="85">
        <v>10.199199999999999</v>
      </c>
      <c r="AZ102" s="85" t="b">
        <v>1</v>
      </c>
    </row>
    <row r="103" spans="1:52" x14ac:dyDescent="0.25">
      <c r="A103" s="38">
        <v>102</v>
      </c>
      <c r="B103" s="85" t="s">
        <v>1026</v>
      </c>
      <c r="C103" s="85" t="s">
        <v>26</v>
      </c>
      <c r="D103" s="85" t="s">
        <v>223</v>
      </c>
      <c r="E103" s="82" t="s">
        <v>564</v>
      </c>
      <c r="F103" s="86" t="s">
        <v>269</v>
      </c>
      <c r="G103" s="87" t="s">
        <v>269</v>
      </c>
      <c r="H103" s="85" t="s">
        <v>513</v>
      </c>
      <c r="I103" s="85" t="s">
        <v>1027</v>
      </c>
      <c r="J103" s="85" t="s">
        <v>1028</v>
      </c>
      <c r="K103" s="85" t="s">
        <v>138</v>
      </c>
      <c r="L103" s="82" t="s">
        <v>564</v>
      </c>
      <c r="M103" s="82" t="s">
        <v>564</v>
      </c>
      <c r="N103" s="82" t="s">
        <v>564</v>
      </c>
      <c r="O103" s="50" t="s">
        <v>564</v>
      </c>
      <c r="P103" s="50">
        <v>2.56</v>
      </c>
    </row>
    <row r="104" spans="1:52" x14ac:dyDescent="0.25">
      <c r="A104" s="38">
        <v>103</v>
      </c>
      <c r="B104" s="85" t="s">
        <v>1026</v>
      </c>
      <c r="C104" s="85" t="s">
        <v>26</v>
      </c>
      <c r="D104" s="85" t="s">
        <v>223</v>
      </c>
      <c r="E104" s="82">
        <v>477.93560000000002</v>
      </c>
      <c r="F104" s="86" t="s">
        <v>269</v>
      </c>
      <c r="G104" s="87" t="s">
        <v>269</v>
      </c>
      <c r="H104" s="85" t="s">
        <v>513</v>
      </c>
      <c r="I104" s="85" t="s">
        <v>1027</v>
      </c>
      <c r="J104" s="85" t="s">
        <v>1028</v>
      </c>
      <c r="K104" s="85" t="s">
        <v>139</v>
      </c>
      <c r="L104" s="82">
        <v>79.958399999999997</v>
      </c>
      <c r="M104" s="82">
        <v>98.955699999999993</v>
      </c>
      <c r="N104" s="82">
        <v>476.92970000000003</v>
      </c>
      <c r="O104" s="50" t="s">
        <v>564</v>
      </c>
      <c r="P104" s="50">
        <v>2.56</v>
      </c>
      <c r="AJ104" s="85" t="s">
        <v>1017</v>
      </c>
      <c r="AK104" s="85" t="s">
        <v>721</v>
      </c>
      <c r="AL104" s="85">
        <v>5.3</v>
      </c>
      <c r="AM104" s="85" t="s">
        <v>1018</v>
      </c>
      <c r="AN104" s="85" t="s">
        <v>1008</v>
      </c>
      <c r="AO104" s="85" t="s">
        <v>1009</v>
      </c>
      <c r="AP104" s="85">
        <v>477.93560224200002</v>
      </c>
      <c r="AQ104" s="85">
        <v>478.942878694</v>
      </c>
      <c r="AR104" s="85">
        <v>495.96942780000001</v>
      </c>
      <c r="AS104" s="85">
        <v>500.92482332200001</v>
      </c>
      <c r="AT104" s="85">
        <v>476.92832578999997</v>
      </c>
      <c r="AU104" s="85" t="s">
        <v>564</v>
      </c>
      <c r="AV104" s="85" t="s">
        <v>564</v>
      </c>
      <c r="AW104" s="85">
        <v>3.746</v>
      </c>
      <c r="AX104" s="85">
        <v>3.9740000000000002</v>
      </c>
      <c r="AY104" s="85">
        <v>10.101800000000001</v>
      </c>
      <c r="AZ104" s="85" t="b">
        <v>1</v>
      </c>
    </row>
    <row r="105" spans="1:52" x14ac:dyDescent="0.25">
      <c r="A105" s="38">
        <v>104</v>
      </c>
      <c r="B105" s="85" t="s">
        <v>118</v>
      </c>
      <c r="C105" s="85" t="s">
        <v>118</v>
      </c>
      <c r="D105" s="85" t="s">
        <v>224</v>
      </c>
      <c r="E105" s="82">
        <v>324.16379999999998</v>
      </c>
      <c r="F105" s="86" t="s">
        <v>1029</v>
      </c>
      <c r="G105" s="87" t="s">
        <v>269</v>
      </c>
      <c r="H105" s="85" t="s">
        <v>514</v>
      </c>
      <c r="I105" s="85" t="s">
        <v>1030</v>
      </c>
      <c r="J105" s="85" t="s">
        <v>1031</v>
      </c>
      <c r="K105" s="85" t="s">
        <v>138</v>
      </c>
      <c r="L105" s="82">
        <v>262.10270000000003</v>
      </c>
      <c r="M105" s="82">
        <v>234.07140000000001</v>
      </c>
      <c r="N105" s="82">
        <v>109.0448</v>
      </c>
      <c r="O105" s="50">
        <v>2.5099999999999998</v>
      </c>
      <c r="P105" s="50">
        <v>3.74</v>
      </c>
      <c r="AJ105" s="85">
        <v>60</v>
      </c>
      <c r="AK105" s="85" t="s">
        <v>892</v>
      </c>
      <c r="AL105" s="85">
        <v>6.6</v>
      </c>
      <c r="AM105" s="85" t="s">
        <v>921</v>
      </c>
      <c r="AN105" s="85" t="s">
        <v>922</v>
      </c>
      <c r="AO105" s="85" t="s">
        <v>923</v>
      </c>
      <c r="AP105" s="85">
        <v>324.16379151199999</v>
      </c>
      <c r="AQ105" s="85">
        <v>325.17106796399997</v>
      </c>
      <c r="AR105" s="85">
        <v>342.19761706999998</v>
      </c>
      <c r="AS105" s="85">
        <v>347.15301259199998</v>
      </c>
      <c r="AT105" s="85">
        <v>323.15651506</v>
      </c>
      <c r="AU105" s="85">
        <v>2771</v>
      </c>
      <c r="AV105" s="85">
        <v>2669</v>
      </c>
      <c r="AW105" s="85">
        <v>1.7384999999999999</v>
      </c>
      <c r="AX105" s="85">
        <v>3.5369999999999999</v>
      </c>
      <c r="AY105" s="85">
        <v>9.3927999999999994</v>
      </c>
      <c r="AZ105" s="85" t="b">
        <v>0</v>
      </c>
    </row>
    <row r="106" spans="1:52" x14ac:dyDescent="0.25">
      <c r="A106" s="38">
        <v>105</v>
      </c>
      <c r="B106" s="85" t="s">
        <v>1032</v>
      </c>
      <c r="C106" s="85" t="s">
        <v>108</v>
      </c>
      <c r="D106" s="85" t="s">
        <v>225</v>
      </c>
      <c r="E106" s="82">
        <v>342.17435619999998</v>
      </c>
      <c r="F106" s="86" t="s">
        <v>1033</v>
      </c>
      <c r="G106" s="87" t="s">
        <v>269</v>
      </c>
      <c r="H106" s="85" t="s">
        <v>515</v>
      </c>
      <c r="I106" s="85" t="s">
        <v>1034</v>
      </c>
      <c r="J106" s="85" t="s">
        <v>1035</v>
      </c>
      <c r="K106" s="85" t="s">
        <v>138</v>
      </c>
      <c r="L106" s="82">
        <v>237.10740000000001</v>
      </c>
      <c r="M106" s="82">
        <v>280.11320000000001</v>
      </c>
      <c r="N106" s="82">
        <v>325.17110000000002</v>
      </c>
      <c r="O106" s="50">
        <v>1.6</v>
      </c>
      <c r="P106" s="50">
        <v>2.94</v>
      </c>
      <c r="AJ106" s="85">
        <v>28.1</v>
      </c>
      <c r="AK106" s="85" t="s">
        <v>721</v>
      </c>
      <c r="AL106" s="85">
        <v>5.2</v>
      </c>
      <c r="AM106" s="85" t="s">
        <v>722</v>
      </c>
      <c r="AN106" s="85" t="s">
        <v>723</v>
      </c>
      <c r="AO106" s="85" t="s">
        <v>724</v>
      </c>
      <c r="AP106" s="85">
        <v>342.17435619600002</v>
      </c>
      <c r="AQ106" s="85">
        <v>343.181632648</v>
      </c>
      <c r="AR106" s="85">
        <v>360.20818175400001</v>
      </c>
      <c r="AS106" s="85">
        <v>365.16357727600001</v>
      </c>
      <c r="AT106" s="85">
        <v>341.16707974399998</v>
      </c>
      <c r="AU106" s="85">
        <v>10193515</v>
      </c>
      <c r="AV106" s="85">
        <v>8369015</v>
      </c>
      <c r="AW106" s="85">
        <v>1.069</v>
      </c>
      <c r="AX106" s="85">
        <v>2.7010000000000001</v>
      </c>
      <c r="AY106" s="85">
        <v>8.0364000000000004</v>
      </c>
      <c r="AZ106" s="85" t="b">
        <v>1</v>
      </c>
    </row>
    <row r="107" spans="1:52" x14ac:dyDescent="0.25">
      <c r="A107" s="38">
        <v>106</v>
      </c>
      <c r="B107" s="85" t="s">
        <v>1036</v>
      </c>
      <c r="C107" s="85" t="s">
        <v>109</v>
      </c>
      <c r="D107" s="85" t="s">
        <v>1037</v>
      </c>
      <c r="E107" s="82">
        <v>343.1583718</v>
      </c>
      <c r="F107" s="86" t="s">
        <v>1038</v>
      </c>
      <c r="G107" s="87" t="s">
        <v>269</v>
      </c>
      <c r="H107" s="85" t="s">
        <v>516</v>
      </c>
      <c r="I107" s="85" t="s">
        <v>1039</v>
      </c>
      <c r="J107" s="85" t="s">
        <v>1040</v>
      </c>
      <c r="K107" s="85" t="s">
        <v>138</v>
      </c>
      <c r="L107" s="82">
        <v>237.10740000000001</v>
      </c>
      <c r="M107" s="82">
        <v>281.09719999999999</v>
      </c>
      <c r="N107" s="82">
        <v>326.1551</v>
      </c>
      <c r="O107" s="50">
        <v>2.75</v>
      </c>
      <c r="P107" s="50">
        <v>4.08</v>
      </c>
      <c r="AJ107" s="85">
        <v>28.1</v>
      </c>
      <c r="AK107" s="85" t="s">
        <v>721</v>
      </c>
      <c r="AL107" s="85">
        <v>5</v>
      </c>
      <c r="AM107" s="85" t="s">
        <v>722</v>
      </c>
      <c r="AN107" s="85" t="s">
        <v>723</v>
      </c>
      <c r="AO107" s="85" t="s">
        <v>724</v>
      </c>
      <c r="AP107" s="85">
        <v>343.15837177399999</v>
      </c>
      <c r="AQ107" s="85">
        <v>344.16564822599997</v>
      </c>
      <c r="AR107" s="85">
        <v>361.19219733199998</v>
      </c>
      <c r="AS107" s="85">
        <v>366.14759285399998</v>
      </c>
      <c r="AT107" s="85">
        <v>342.151095322</v>
      </c>
      <c r="AU107" s="85">
        <v>9928044</v>
      </c>
      <c r="AV107" s="85">
        <v>8103677</v>
      </c>
      <c r="AW107" s="85">
        <v>1.464</v>
      </c>
      <c r="AX107" s="85">
        <v>3.4289999999999998</v>
      </c>
      <c r="AY107" s="85">
        <v>9.2175999999999991</v>
      </c>
      <c r="AZ107" s="85" t="b">
        <v>1</v>
      </c>
    </row>
    <row r="108" spans="1:52" x14ac:dyDescent="0.25">
      <c r="A108" s="38">
        <v>107</v>
      </c>
      <c r="B108" s="85" t="s">
        <v>1041</v>
      </c>
      <c r="C108" s="85" t="s">
        <v>110</v>
      </c>
      <c r="D108" s="85" t="s">
        <v>227</v>
      </c>
      <c r="E108" s="82">
        <v>340.15870610000002</v>
      </c>
      <c r="F108" s="86" t="s">
        <v>1042</v>
      </c>
      <c r="G108" s="87" t="s">
        <v>269</v>
      </c>
      <c r="H108" s="85" t="s">
        <v>517</v>
      </c>
      <c r="I108" s="85" t="s">
        <v>1043</v>
      </c>
      <c r="J108" s="85" t="s">
        <v>1044</v>
      </c>
      <c r="K108" s="85" t="s">
        <v>138</v>
      </c>
      <c r="L108" s="82">
        <v>262.10270000000003</v>
      </c>
      <c r="M108" s="82">
        <v>234.07140000000001</v>
      </c>
      <c r="N108" s="82">
        <v>109.0448</v>
      </c>
      <c r="O108" s="50">
        <v>1.1100000000000001</v>
      </c>
      <c r="P108" s="50">
        <v>2.97</v>
      </c>
      <c r="AJ108" s="85">
        <v>28</v>
      </c>
      <c r="AK108" s="85" t="s">
        <v>721</v>
      </c>
      <c r="AL108" s="85">
        <v>7.1</v>
      </c>
      <c r="AM108" s="85" t="s">
        <v>722</v>
      </c>
      <c r="AN108" s="85" t="s">
        <v>723</v>
      </c>
      <c r="AO108" s="85" t="s">
        <v>724</v>
      </c>
      <c r="AP108" s="85">
        <v>340.15870613200002</v>
      </c>
      <c r="AQ108" s="85">
        <v>341.16598258400001</v>
      </c>
      <c r="AR108" s="85">
        <v>358.19253169000001</v>
      </c>
      <c r="AS108" s="85">
        <v>363.14792721200001</v>
      </c>
      <c r="AT108" s="85">
        <v>339.15142967999998</v>
      </c>
      <c r="AU108" s="85">
        <v>10068142</v>
      </c>
      <c r="AV108" s="85">
        <v>8243682</v>
      </c>
      <c r="AW108" s="85">
        <v>1.3333999999999999</v>
      </c>
      <c r="AX108" s="85">
        <v>2.8559999999999999</v>
      </c>
      <c r="AY108" s="85">
        <v>8.2879000000000005</v>
      </c>
      <c r="AZ108" s="85" t="b">
        <v>1</v>
      </c>
    </row>
    <row r="109" spans="1:52" x14ac:dyDescent="0.25">
      <c r="A109" s="38">
        <v>108</v>
      </c>
      <c r="B109" s="85" t="s">
        <v>1045</v>
      </c>
      <c r="C109" s="85" t="s">
        <v>111</v>
      </c>
      <c r="D109" s="85" t="s">
        <v>1046</v>
      </c>
      <c r="E109" s="82">
        <v>310.14813199999998</v>
      </c>
      <c r="F109" s="86" t="s">
        <v>1047</v>
      </c>
      <c r="G109" s="86" t="s">
        <v>1048</v>
      </c>
      <c r="H109" s="85" t="s">
        <v>518</v>
      </c>
      <c r="I109" s="85" t="s">
        <v>1049</v>
      </c>
      <c r="J109" s="85" t="s">
        <v>1050</v>
      </c>
      <c r="K109" s="85" t="s">
        <v>138</v>
      </c>
      <c r="L109" s="82">
        <v>262.10270000000003</v>
      </c>
      <c r="M109" s="82">
        <v>234.07140000000001</v>
      </c>
      <c r="N109" s="82">
        <v>293.14490000000001</v>
      </c>
      <c r="O109" s="50">
        <v>3.25</v>
      </c>
      <c r="P109" s="50">
        <v>3.53</v>
      </c>
      <c r="AJ109" s="85">
        <v>27.3</v>
      </c>
      <c r="AK109" s="85" t="s">
        <v>721</v>
      </c>
      <c r="AL109" s="85">
        <v>6.8</v>
      </c>
      <c r="AM109" s="85" t="s">
        <v>722</v>
      </c>
      <c r="AN109" s="85" t="s">
        <v>723</v>
      </c>
      <c r="AO109" s="85" t="s">
        <v>724</v>
      </c>
      <c r="AP109" s="85">
        <v>310.14814144799999</v>
      </c>
      <c r="AQ109" s="85">
        <v>311.15541789999997</v>
      </c>
      <c r="AR109" s="85">
        <v>328.18196700599998</v>
      </c>
      <c r="AS109" s="85">
        <v>333.13736252799998</v>
      </c>
      <c r="AT109" s="85">
        <v>309.140864996</v>
      </c>
      <c r="AU109" s="85">
        <v>162180</v>
      </c>
      <c r="AV109" s="85">
        <v>142424</v>
      </c>
      <c r="AW109" s="85">
        <v>1.2025999999999999</v>
      </c>
      <c r="AX109" s="85">
        <v>3.298</v>
      </c>
      <c r="AY109" s="85">
        <v>9.0050000000000008</v>
      </c>
      <c r="AZ109" s="85" t="b">
        <v>1</v>
      </c>
    </row>
    <row r="110" spans="1:52" x14ac:dyDescent="0.25">
      <c r="A110" s="38">
        <v>109</v>
      </c>
      <c r="B110" s="85" t="s">
        <v>1051</v>
      </c>
      <c r="C110" s="85" t="s">
        <v>112</v>
      </c>
      <c r="D110" s="85" t="s">
        <v>229</v>
      </c>
      <c r="E110" s="82">
        <v>338.14305610000002</v>
      </c>
      <c r="F110" s="86" t="s">
        <v>1052</v>
      </c>
      <c r="G110" s="87" t="s">
        <v>269</v>
      </c>
      <c r="H110" s="85" t="s">
        <v>519</v>
      </c>
      <c r="I110" s="85" t="s">
        <v>1053</v>
      </c>
      <c r="J110" s="85" t="s">
        <v>1054</v>
      </c>
      <c r="K110" s="85" t="s">
        <v>138</v>
      </c>
      <c r="L110" s="82">
        <v>276.08190000000002</v>
      </c>
      <c r="M110" s="82">
        <v>258.07139999999998</v>
      </c>
      <c r="N110" s="82">
        <v>248.08699999999999</v>
      </c>
      <c r="O110" s="50">
        <v>1.51</v>
      </c>
      <c r="P110" s="50">
        <v>2.74</v>
      </c>
      <c r="AJ110" s="85">
        <v>28</v>
      </c>
      <c r="AK110" s="85" t="s">
        <v>721</v>
      </c>
      <c r="AL110" s="85">
        <v>6.4</v>
      </c>
      <c r="AM110" s="85" t="s">
        <v>722</v>
      </c>
      <c r="AN110" s="85" t="s">
        <v>723</v>
      </c>
      <c r="AO110" s="85" t="s">
        <v>724</v>
      </c>
      <c r="AP110" s="85">
        <v>338.14305606800002</v>
      </c>
      <c r="AQ110" s="85">
        <v>339.15033252000001</v>
      </c>
      <c r="AR110" s="85">
        <v>356.17688162600001</v>
      </c>
      <c r="AS110" s="85">
        <v>361.13227714800001</v>
      </c>
      <c r="AT110" s="85">
        <v>337.13577961599998</v>
      </c>
      <c r="AU110" s="85">
        <v>11484526</v>
      </c>
      <c r="AV110" s="85">
        <v>9659346</v>
      </c>
      <c r="AW110" s="85">
        <v>1.7899</v>
      </c>
      <c r="AX110" s="85">
        <v>3.7650000000000001</v>
      </c>
      <c r="AY110" s="85">
        <v>9.7627000000000006</v>
      </c>
      <c r="AZ110" s="85" t="b">
        <v>1</v>
      </c>
    </row>
    <row r="111" spans="1:52" x14ac:dyDescent="0.25">
      <c r="A111" s="38">
        <v>110</v>
      </c>
      <c r="B111" s="85" t="s">
        <v>113</v>
      </c>
      <c r="C111" s="85" t="s">
        <v>113</v>
      </c>
      <c r="D111" s="85" t="s">
        <v>230</v>
      </c>
      <c r="E111" s="82">
        <v>266.16300000000001</v>
      </c>
      <c r="F111" s="86" t="s">
        <v>1055</v>
      </c>
      <c r="G111" s="87" t="s">
        <v>269</v>
      </c>
      <c r="H111" s="85" t="s">
        <v>520</v>
      </c>
      <c r="I111" s="85" t="s">
        <v>1056</v>
      </c>
      <c r="J111" s="85" t="s">
        <v>1057</v>
      </c>
      <c r="K111" s="85" t="s">
        <v>138</v>
      </c>
      <c r="L111" s="82">
        <v>190.08629999999999</v>
      </c>
      <c r="M111" s="82">
        <v>145.06479999999999</v>
      </c>
      <c r="N111" s="82">
        <v>116.107</v>
      </c>
      <c r="O111" s="50">
        <v>0.1</v>
      </c>
      <c r="P111" s="50">
        <v>-0.03</v>
      </c>
      <c r="AJ111" s="85">
        <v>45</v>
      </c>
      <c r="AK111" s="85" t="s">
        <v>892</v>
      </c>
      <c r="AL111" s="85">
        <v>2</v>
      </c>
      <c r="AM111" s="85" t="s">
        <v>921</v>
      </c>
      <c r="AN111" s="85" t="s">
        <v>922</v>
      </c>
      <c r="AO111" s="85" t="s">
        <v>923</v>
      </c>
      <c r="AP111" s="85">
        <v>266.16304258399998</v>
      </c>
      <c r="AQ111" s="85">
        <v>267.17031903600002</v>
      </c>
      <c r="AR111" s="85">
        <v>284.19686814200003</v>
      </c>
      <c r="AS111" s="85">
        <v>289.15226366399997</v>
      </c>
      <c r="AT111" s="85">
        <v>265.155766132</v>
      </c>
      <c r="AU111" s="85">
        <v>2249</v>
      </c>
      <c r="AV111" s="85">
        <v>2162</v>
      </c>
      <c r="AW111" s="85">
        <v>-0.8488</v>
      </c>
      <c r="AX111" s="85">
        <v>0.46100000000000002</v>
      </c>
      <c r="AY111" s="85">
        <v>4.4020000000000001</v>
      </c>
      <c r="AZ111" s="85" t="b">
        <v>0</v>
      </c>
    </row>
    <row r="112" spans="1:52" x14ac:dyDescent="0.25">
      <c r="A112" s="38">
        <v>111</v>
      </c>
      <c r="B112" s="85" t="s">
        <v>121</v>
      </c>
      <c r="C112" s="85" t="s">
        <v>121</v>
      </c>
      <c r="D112" s="85" t="s">
        <v>231</v>
      </c>
      <c r="E112" s="82">
        <v>267.18340000000001</v>
      </c>
      <c r="F112" s="86" t="s">
        <v>1058</v>
      </c>
      <c r="G112" s="87" t="s">
        <v>269</v>
      </c>
      <c r="H112" s="85" t="s">
        <v>521</v>
      </c>
      <c r="I112" s="85" t="s">
        <v>1059</v>
      </c>
      <c r="J112" s="85" t="s">
        <v>1060</v>
      </c>
      <c r="K112" s="85" t="s">
        <v>138</v>
      </c>
      <c r="L112" s="82">
        <v>191.107</v>
      </c>
      <c r="M112" s="82">
        <v>159.08099999999999</v>
      </c>
      <c r="N112" s="82">
        <v>116.107</v>
      </c>
      <c r="O112" s="50">
        <v>1.79</v>
      </c>
      <c r="P112" s="50">
        <v>1.69</v>
      </c>
      <c r="AJ112" s="85">
        <v>45</v>
      </c>
      <c r="AK112" s="85" t="s">
        <v>892</v>
      </c>
      <c r="AL112" s="85">
        <v>5.0999999999999996</v>
      </c>
      <c r="AM112" s="85" t="s">
        <v>921</v>
      </c>
      <c r="AN112" s="85" t="s">
        <v>922</v>
      </c>
      <c r="AO112" s="85" t="s">
        <v>923</v>
      </c>
      <c r="AP112" s="85">
        <v>267.18344366999997</v>
      </c>
      <c r="AQ112" s="85">
        <v>268.19072012200002</v>
      </c>
      <c r="AR112" s="85">
        <v>285.21726922800002</v>
      </c>
      <c r="AS112" s="85">
        <v>290.17266475000002</v>
      </c>
      <c r="AT112" s="85">
        <v>266.17616721799999</v>
      </c>
      <c r="AU112" s="85">
        <v>4171</v>
      </c>
      <c r="AV112" s="85">
        <v>4027</v>
      </c>
      <c r="AW112" s="85">
        <v>-3.3399999999999999E-2</v>
      </c>
      <c r="AX112" s="85">
        <v>1.6279999999999999</v>
      </c>
      <c r="AY112" s="85">
        <v>6.2953999999999999</v>
      </c>
      <c r="AZ112" s="85" t="b">
        <v>0</v>
      </c>
    </row>
    <row r="113" spans="1:52" x14ac:dyDescent="0.25">
      <c r="A113" s="38">
        <v>112</v>
      </c>
      <c r="B113" s="85" t="s">
        <v>1061</v>
      </c>
      <c r="C113" s="85" t="s">
        <v>104</v>
      </c>
      <c r="D113" s="85" t="s">
        <v>232</v>
      </c>
      <c r="E113" s="82">
        <v>267.14706000000001</v>
      </c>
      <c r="F113" s="86" t="s">
        <v>1062</v>
      </c>
      <c r="G113" s="87" t="s">
        <v>269</v>
      </c>
      <c r="H113" s="85" t="s">
        <v>522</v>
      </c>
      <c r="I113" s="85" t="s">
        <v>1063</v>
      </c>
      <c r="J113" s="85" t="s">
        <v>1064</v>
      </c>
      <c r="K113" s="85" t="s">
        <v>138</v>
      </c>
      <c r="L113" s="82">
        <v>145.06399999999999</v>
      </c>
      <c r="M113" s="82">
        <v>191.06960000000001</v>
      </c>
      <c r="N113" s="82">
        <v>165.05410000000001</v>
      </c>
      <c r="O113" s="50">
        <v>1.1499999999999999</v>
      </c>
      <c r="P113" s="50">
        <v>-2.34</v>
      </c>
      <c r="AL113" s="85">
        <v>4.8</v>
      </c>
      <c r="AP113" s="85">
        <v>267.14705816200001</v>
      </c>
      <c r="AQ113" s="85">
        <v>268.15433461399999</v>
      </c>
      <c r="AR113" s="85">
        <v>285.18088372</v>
      </c>
      <c r="AS113" s="85">
        <v>290.136279242</v>
      </c>
      <c r="AT113" s="85">
        <v>266.13978171000002</v>
      </c>
      <c r="AU113" s="85">
        <v>62936</v>
      </c>
      <c r="AV113" s="85">
        <v>56653</v>
      </c>
      <c r="AW113" s="85">
        <v>-0.45379999999999998</v>
      </c>
      <c r="AX113" s="85">
        <v>1.1890000000000001</v>
      </c>
      <c r="AY113" s="85">
        <v>5.5831999999999997</v>
      </c>
      <c r="AZ113" s="85" t="b">
        <v>1</v>
      </c>
    </row>
    <row r="114" spans="1:52" x14ac:dyDescent="0.25">
      <c r="A114" s="38">
        <v>113</v>
      </c>
      <c r="B114" s="85" t="s">
        <v>114</v>
      </c>
      <c r="C114" s="85" t="s">
        <v>114</v>
      </c>
      <c r="D114" s="85" t="s">
        <v>233</v>
      </c>
      <c r="E114" s="82">
        <v>215.0932</v>
      </c>
      <c r="F114" s="86" t="s">
        <v>1065</v>
      </c>
      <c r="G114" s="87" t="s">
        <v>269</v>
      </c>
      <c r="H114" s="85" t="s">
        <v>523</v>
      </c>
      <c r="I114" s="85" t="s">
        <v>1066</v>
      </c>
      <c r="J114" s="85" t="s">
        <v>1067</v>
      </c>
      <c r="K114" s="85" t="s">
        <v>138</v>
      </c>
      <c r="L114" s="82">
        <v>174.05410000000001</v>
      </c>
      <c r="M114" s="82">
        <v>104.001</v>
      </c>
      <c r="N114" s="82">
        <v>68.024299999999997</v>
      </c>
      <c r="O114" s="50">
        <v>1.53</v>
      </c>
      <c r="P114" s="50">
        <v>2.82</v>
      </c>
      <c r="AJ114" s="85">
        <v>75</v>
      </c>
      <c r="AK114" s="85" t="s">
        <v>892</v>
      </c>
      <c r="AL114" s="85">
        <v>8.3000000000000007</v>
      </c>
      <c r="AM114" s="85" t="s">
        <v>921</v>
      </c>
      <c r="AN114" s="85" t="s">
        <v>922</v>
      </c>
      <c r="AO114" s="85" t="s">
        <v>923</v>
      </c>
      <c r="AP114" s="85">
        <v>215.09377320799999</v>
      </c>
      <c r="AQ114" s="85">
        <v>216.10104966</v>
      </c>
      <c r="AR114" s="85">
        <v>233.12759876600001</v>
      </c>
      <c r="AS114" s="85">
        <v>238.08299428800001</v>
      </c>
      <c r="AT114" s="85">
        <v>214.086496756</v>
      </c>
      <c r="AU114" s="85">
        <v>2256</v>
      </c>
      <c r="AV114" s="85">
        <v>2169</v>
      </c>
      <c r="AW114" s="85">
        <v>-0.41139999999999999</v>
      </c>
      <c r="AX114" s="85">
        <v>1.6639999999999999</v>
      </c>
      <c r="AY114" s="85">
        <v>6.3537999999999997</v>
      </c>
      <c r="AZ114" s="85" t="b">
        <v>0</v>
      </c>
    </row>
    <row r="115" spans="1:52" x14ac:dyDescent="0.25">
      <c r="A115" s="38">
        <v>114</v>
      </c>
      <c r="B115" s="85" t="s">
        <v>1</v>
      </c>
      <c r="C115" s="85" t="s">
        <v>1</v>
      </c>
      <c r="D115" s="85" t="s">
        <v>234</v>
      </c>
      <c r="E115" s="82">
        <v>197.1277</v>
      </c>
      <c r="F115" s="86" t="s">
        <v>1068</v>
      </c>
      <c r="G115" s="87" t="s">
        <v>269</v>
      </c>
      <c r="H115" s="85" t="s">
        <v>524</v>
      </c>
      <c r="I115" s="85" t="s">
        <v>1069</v>
      </c>
      <c r="J115" s="85" t="s">
        <v>1070</v>
      </c>
      <c r="K115" s="85" t="s">
        <v>138</v>
      </c>
      <c r="L115" s="82">
        <v>156.08799999999999</v>
      </c>
      <c r="M115" s="82">
        <v>114.06619999999999</v>
      </c>
      <c r="N115" s="82">
        <v>86.034899999999993</v>
      </c>
      <c r="O115" s="50">
        <v>0.4</v>
      </c>
      <c r="P115" s="50">
        <v>-1.74</v>
      </c>
      <c r="AJ115" s="85">
        <v>60</v>
      </c>
      <c r="AK115" s="85" t="s">
        <v>892</v>
      </c>
      <c r="AL115" s="85">
        <v>4.45</v>
      </c>
      <c r="AM115" s="85" t="s">
        <v>921</v>
      </c>
      <c r="AN115" s="85" t="s">
        <v>922</v>
      </c>
      <c r="AO115" s="85" t="s">
        <v>923</v>
      </c>
      <c r="AP115" s="85">
        <v>197.12766015</v>
      </c>
      <c r="AQ115" s="85">
        <v>198.13493660200001</v>
      </c>
      <c r="AR115" s="85">
        <v>215.16148570799999</v>
      </c>
      <c r="AS115" s="85">
        <v>220.11688122999999</v>
      </c>
      <c r="AT115" s="85">
        <v>196.12038369800001</v>
      </c>
      <c r="AU115" s="85">
        <v>16553</v>
      </c>
      <c r="AV115" s="85">
        <v>15693</v>
      </c>
      <c r="AW115" s="85">
        <v>-1.0133000000000001</v>
      </c>
      <c r="AX115" s="85">
        <v>1.2749999999999999</v>
      </c>
      <c r="AY115" s="85">
        <v>5.7226999999999997</v>
      </c>
      <c r="AZ115" s="85" t="b">
        <v>1</v>
      </c>
    </row>
    <row r="116" spans="1:52" x14ac:dyDescent="0.25">
      <c r="A116" s="38">
        <v>115</v>
      </c>
      <c r="B116" s="85" t="s">
        <v>1</v>
      </c>
      <c r="C116" s="85" t="s">
        <v>1</v>
      </c>
      <c r="D116" s="85" t="s">
        <v>234</v>
      </c>
      <c r="E116" s="82">
        <v>197.1277</v>
      </c>
      <c r="F116" s="86" t="s">
        <v>1068</v>
      </c>
      <c r="G116" s="87" t="s">
        <v>269</v>
      </c>
      <c r="H116" s="85" t="s">
        <v>524</v>
      </c>
      <c r="I116" s="85" t="s">
        <v>1069</v>
      </c>
      <c r="J116" s="85" t="s">
        <v>1070</v>
      </c>
      <c r="K116" s="85" t="s">
        <v>139</v>
      </c>
      <c r="L116" s="82">
        <v>154.07339999999999</v>
      </c>
      <c r="M116" s="82">
        <v>125.08329999999999</v>
      </c>
      <c r="N116" s="82">
        <v>83.061499999999995</v>
      </c>
      <c r="O116" s="50">
        <v>0.4</v>
      </c>
      <c r="P116" s="50">
        <v>-1.74</v>
      </c>
      <c r="AJ116" s="85">
        <v>45</v>
      </c>
      <c r="AK116" s="85" t="s">
        <v>892</v>
      </c>
      <c r="AL116" s="85">
        <v>4.45</v>
      </c>
      <c r="AM116" s="85" t="s">
        <v>921</v>
      </c>
      <c r="AN116" s="85" t="s">
        <v>922</v>
      </c>
      <c r="AO116" s="85" t="s">
        <v>923</v>
      </c>
      <c r="AP116" s="85">
        <v>197.12766015</v>
      </c>
      <c r="AQ116" s="85">
        <v>198.13493660200001</v>
      </c>
      <c r="AR116" s="85">
        <v>215.16148570799999</v>
      </c>
      <c r="AS116" s="85">
        <v>220.11688122999999</v>
      </c>
      <c r="AT116" s="85">
        <v>196.12038369800001</v>
      </c>
      <c r="AU116" s="85">
        <v>16553</v>
      </c>
      <c r="AV116" s="85">
        <v>15693</v>
      </c>
      <c r="AW116" s="85">
        <v>-1.0133000000000001</v>
      </c>
      <c r="AX116" s="85">
        <v>1.2749999999999999</v>
      </c>
      <c r="AY116" s="85">
        <v>5.7226999999999997</v>
      </c>
      <c r="AZ116" s="85" t="b">
        <v>1</v>
      </c>
    </row>
    <row r="117" spans="1:52" x14ac:dyDescent="0.25">
      <c r="A117" s="38">
        <v>116</v>
      </c>
      <c r="B117" s="85" t="s">
        <v>49</v>
      </c>
      <c r="C117" s="85" t="s">
        <v>49</v>
      </c>
      <c r="D117" s="85" t="s">
        <v>235</v>
      </c>
      <c r="E117" s="82">
        <v>295.01670000000001</v>
      </c>
      <c r="F117" s="86" t="s">
        <v>1071</v>
      </c>
      <c r="G117" s="87" t="s">
        <v>269</v>
      </c>
      <c r="H117" s="85" t="s">
        <v>525</v>
      </c>
      <c r="I117" s="85" t="s">
        <v>1072</v>
      </c>
      <c r="J117" s="85" t="s">
        <v>1073</v>
      </c>
      <c r="K117" s="85" t="s">
        <v>138</v>
      </c>
      <c r="L117" s="82">
        <v>278.01339999999999</v>
      </c>
      <c r="M117" s="82">
        <v>250.01849999999999</v>
      </c>
      <c r="N117" s="82">
        <v>215.0496</v>
      </c>
      <c r="O117" s="50">
        <v>4.0599999999999996</v>
      </c>
      <c r="P117" s="50">
        <v>4.0199999999999996</v>
      </c>
      <c r="AJ117" s="85">
        <v>30</v>
      </c>
      <c r="AK117" s="85" t="s">
        <v>892</v>
      </c>
      <c r="AL117" s="85">
        <v>12.8</v>
      </c>
      <c r="AM117" s="85" t="s">
        <v>921</v>
      </c>
      <c r="AN117" s="85" t="s">
        <v>922</v>
      </c>
      <c r="AO117" s="85" t="s">
        <v>923</v>
      </c>
      <c r="AP117" s="85">
        <v>295.01668402199999</v>
      </c>
      <c r="AQ117" s="85">
        <v>296.02396047399998</v>
      </c>
      <c r="AR117" s="85">
        <v>313.05050957999998</v>
      </c>
      <c r="AS117" s="85">
        <v>318.00590510199999</v>
      </c>
      <c r="AT117" s="85">
        <v>294.00940757000001</v>
      </c>
      <c r="AU117" s="85">
        <v>3033</v>
      </c>
      <c r="AV117" s="85">
        <v>2925</v>
      </c>
      <c r="AW117" s="85">
        <v>1.8295999999999999</v>
      </c>
      <c r="AX117" s="85">
        <v>3.9049999999999998</v>
      </c>
      <c r="AY117" s="85">
        <v>9.9899000000000004</v>
      </c>
      <c r="AZ117" s="85" t="b">
        <v>0</v>
      </c>
    </row>
    <row r="118" spans="1:52" x14ac:dyDescent="0.25">
      <c r="A118" s="38">
        <v>117</v>
      </c>
      <c r="B118" s="85" t="s">
        <v>49</v>
      </c>
      <c r="C118" s="85" t="s">
        <v>49</v>
      </c>
      <c r="D118" s="85" t="s">
        <v>235</v>
      </c>
      <c r="E118" s="82">
        <v>295.01670000000001</v>
      </c>
      <c r="F118" s="86" t="s">
        <v>1071</v>
      </c>
      <c r="G118" s="87" t="s">
        <v>269</v>
      </c>
      <c r="H118" s="85" t="s">
        <v>525</v>
      </c>
      <c r="I118" s="85" t="s">
        <v>1072</v>
      </c>
      <c r="J118" s="85" t="s">
        <v>1073</v>
      </c>
      <c r="K118" s="85" t="s">
        <v>139</v>
      </c>
      <c r="L118" s="82">
        <v>250.02</v>
      </c>
      <c r="M118" s="82">
        <v>214.04300000000001</v>
      </c>
      <c r="N118" s="82">
        <v>178.06700000000001</v>
      </c>
      <c r="O118" s="50">
        <v>4.0599999999999996</v>
      </c>
      <c r="P118" s="50">
        <v>4.0199999999999996</v>
      </c>
      <c r="AJ118" s="85">
        <v>45</v>
      </c>
      <c r="AK118" s="85" t="s">
        <v>892</v>
      </c>
      <c r="AL118" s="85">
        <v>12.8</v>
      </c>
      <c r="AM118" s="85" t="s">
        <v>921</v>
      </c>
      <c r="AN118" s="85" t="s">
        <v>922</v>
      </c>
      <c r="AO118" s="85" t="s">
        <v>923</v>
      </c>
      <c r="AP118" s="85">
        <v>295.01668402199999</v>
      </c>
      <c r="AQ118" s="85">
        <v>296.02396047399998</v>
      </c>
      <c r="AR118" s="85">
        <v>313.05050957999998</v>
      </c>
      <c r="AS118" s="85">
        <v>318.00590510199999</v>
      </c>
      <c r="AT118" s="85">
        <v>294.00940757000001</v>
      </c>
      <c r="AU118" s="85">
        <v>3033</v>
      </c>
      <c r="AV118" s="85">
        <v>2925</v>
      </c>
      <c r="AW118" s="85">
        <v>1.8295999999999999</v>
      </c>
      <c r="AX118" s="85">
        <v>3.9049999999999998</v>
      </c>
      <c r="AY118" s="85">
        <v>9.9899000000000004</v>
      </c>
      <c r="AZ118" s="85" t="b">
        <v>0</v>
      </c>
    </row>
    <row r="119" spans="1:52" x14ac:dyDescent="0.25">
      <c r="A119" s="38">
        <v>118</v>
      </c>
      <c r="B119" s="85" t="s">
        <v>119</v>
      </c>
      <c r="C119" s="85" t="s">
        <v>119</v>
      </c>
      <c r="D119" s="85" t="s">
        <v>236</v>
      </c>
      <c r="E119" s="82">
        <v>206.1414</v>
      </c>
      <c r="F119" s="86" t="s">
        <v>1074</v>
      </c>
      <c r="G119" s="87" t="s">
        <v>269</v>
      </c>
      <c r="H119" s="85" t="s">
        <v>526</v>
      </c>
      <c r="I119" s="85" t="s">
        <v>1075</v>
      </c>
      <c r="J119" s="85" t="s">
        <v>1076</v>
      </c>
      <c r="K119" s="85" t="s">
        <v>138</v>
      </c>
      <c r="L119" s="82">
        <v>165.102</v>
      </c>
      <c r="M119" s="82">
        <v>134.096</v>
      </c>
      <c r="N119" s="82">
        <v>72.044399999999996</v>
      </c>
      <c r="O119" s="50">
        <v>2.3199999999999998</v>
      </c>
      <c r="P119" s="50">
        <v>2.84</v>
      </c>
      <c r="AJ119" s="85">
        <v>45</v>
      </c>
      <c r="AK119" s="85" t="s">
        <v>892</v>
      </c>
      <c r="AL119" s="85">
        <v>8.6999999999999993</v>
      </c>
      <c r="AM119" s="85" t="s">
        <v>921</v>
      </c>
      <c r="AN119" s="85" t="s">
        <v>922</v>
      </c>
      <c r="AO119" s="85" t="s">
        <v>923</v>
      </c>
      <c r="AP119" s="85">
        <v>206.14191321600001</v>
      </c>
      <c r="AQ119" s="85">
        <v>207.14918966799999</v>
      </c>
      <c r="AR119" s="85">
        <v>224.175738774</v>
      </c>
      <c r="AS119" s="85">
        <v>229.131134296</v>
      </c>
      <c r="AT119" s="85">
        <v>205.13463676399999</v>
      </c>
      <c r="AU119" s="85">
        <v>36679</v>
      </c>
      <c r="AV119" s="85">
        <v>33695</v>
      </c>
      <c r="AW119" s="85">
        <v>0.91080000000000005</v>
      </c>
      <c r="AX119" s="85">
        <v>2.4630000000000001</v>
      </c>
      <c r="AY119" s="85">
        <v>7.6501999999999999</v>
      </c>
      <c r="AZ119" s="85" t="b">
        <v>0</v>
      </c>
    </row>
    <row r="120" spans="1:52" x14ac:dyDescent="0.25">
      <c r="A120" s="38">
        <v>119</v>
      </c>
      <c r="B120" s="85" t="s">
        <v>52</v>
      </c>
      <c r="C120" s="85" t="s">
        <v>52</v>
      </c>
      <c r="D120" s="85" t="s">
        <v>237</v>
      </c>
      <c r="E120" s="82">
        <v>253.0521</v>
      </c>
      <c r="F120" s="86" t="s">
        <v>1077</v>
      </c>
      <c r="G120" s="87" t="s">
        <v>269</v>
      </c>
      <c r="H120" s="85" t="s">
        <v>527</v>
      </c>
      <c r="I120" s="85" t="s">
        <v>1078</v>
      </c>
      <c r="J120" s="85" t="s">
        <v>1079</v>
      </c>
      <c r="K120" s="85" t="s">
        <v>138</v>
      </c>
      <c r="L120" s="82">
        <v>156.012</v>
      </c>
      <c r="M120" s="82">
        <v>108.044</v>
      </c>
      <c r="N120" s="82">
        <v>92.049499999999995</v>
      </c>
      <c r="O120" s="50">
        <v>0.89</v>
      </c>
      <c r="P120" s="50">
        <v>0.48</v>
      </c>
      <c r="AJ120" s="85">
        <v>45</v>
      </c>
      <c r="AK120" s="85" t="s">
        <v>892</v>
      </c>
      <c r="AL120" s="85">
        <v>4.55</v>
      </c>
      <c r="AM120" s="85" t="s">
        <v>921</v>
      </c>
      <c r="AN120" s="85" t="s">
        <v>922</v>
      </c>
      <c r="AO120" s="85" t="s">
        <v>923</v>
      </c>
      <c r="AP120" s="85">
        <v>253.05211197200001</v>
      </c>
      <c r="AQ120" s="85">
        <v>254.05938842399999</v>
      </c>
      <c r="AR120" s="85">
        <v>271.08593753000002</v>
      </c>
      <c r="AS120" s="85">
        <v>276.04133305200003</v>
      </c>
      <c r="AT120" s="85">
        <v>252.04483551999999</v>
      </c>
      <c r="AU120" s="85">
        <v>5329</v>
      </c>
      <c r="AV120" s="85">
        <v>5138</v>
      </c>
      <c r="AW120" s="85">
        <v>-0.94220000000000004</v>
      </c>
      <c r="AX120" s="85">
        <v>1.181</v>
      </c>
      <c r="AY120" s="85">
        <v>5.5701999999999998</v>
      </c>
      <c r="AZ120" s="85" t="b">
        <v>0</v>
      </c>
    </row>
    <row r="121" spans="1:52" x14ac:dyDescent="0.25">
      <c r="A121" s="38">
        <v>120</v>
      </c>
      <c r="B121" s="85" t="s">
        <v>52</v>
      </c>
      <c r="C121" s="85" t="s">
        <v>52</v>
      </c>
      <c r="D121" s="85" t="s">
        <v>237</v>
      </c>
      <c r="E121" s="82">
        <v>253.0521</v>
      </c>
      <c r="F121" s="86" t="s">
        <v>1077</v>
      </c>
      <c r="G121" s="87" t="s">
        <v>269</v>
      </c>
      <c r="H121" s="85" t="s">
        <v>527</v>
      </c>
      <c r="I121" s="85" t="s">
        <v>1078</v>
      </c>
      <c r="J121" s="85" t="s">
        <v>1079</v>
      </c>
      <c r="K121" s="85" t="s">
        <v>139</v>
      </c>
      <c r="L121" s="82">
        <v>145.60130000000001</v>
      </c>
      <c r="M121" s="82">
        <v>63.962499999999999</v>
      </c>
      <c r="N121" s="82">
        <v>92.050600000000003</v>
      </c>
      <c r="O121" s="50">
        <v>0.89</v>
      </c>
      <c r="P121" s="50">
        <v>0.48</v>
      </c>
      <c r="AJ121" s="85">
        <v>60</v>
      </c>
      <c r="AK121" s="85" t="s">
        <v>892</v>
      </c>
      <c r="AL121" s="85">
        <v>4.55</v>
      </c>
      <c r="AM121" s="85" t="s">
        <v>921</v>
      </c>
      <c r="AN121" s="85" t="s">
        <v>922</v>
      </c>
      <c r="AO121" s="85" t="s">
        <v>923</v>
      </c>
      <c r="AP121" s="85">
        <v>253.05211197200001</v>
      </c>
      <c r="AQ121" s="85">
        <v>254.05938842399999</v>
      </c>
      <c r="AR121" s="85">
        <v>271.08593753000002</v>
      </c>
      <c r="AS121" s="85">
        <v>276.04133305200003</v>
      </c>
      <c r="AT121" s="85">
        <v>252.04483551999999</v>
      </c>
      <c r="AU121" s="85">
        <v>5329</v>
      </c>
      <c r="AV121" s="85">
        <v>5138</v>
      </c>
      <c r="AW121" s="85">
        <v>-0.94220000000000004</v>
      </c>
      <c r="AX121" s="85">
        <v>1.181</v>
      </c>
      <c r="AY121" s="85">
        <v>5.5701999999999998</v>
      </c>
      <c r="AZ121" s="85" t="b">
        <v>0</v>
      </c>
    </row>
    <row r="122" spans="1:52" x14ac:dyDescent="0.25">
      <c r="A122" s="38">
        <v>121</v>
      </c>
      <c r="B122" s="85" t="s">
        <v>120</v>
      </c>
      <c r="C122" s="85" t="s">
        <v>120</v>
      </c>
      <c r="D122" s="85" t="s">
        <v>238</v>
      </c>
      <c r="E122" s="82">
        <v>229.10890000000001</v>
      </c>
      <c r="F122" s="86" t="s">
        <v>1080</v>
      </c>
      <c r="G122" s="87" t="s">
        <v>269</v>
      </c>
      <c r="H122" s="85" t="s">
        <v>528</v>
      </c>
      <c r="I122" s="85" t="s">
        <v>1081</v>
      </c>
      <c r="J122" s="85" t="s">
        <v>1082</v>
      </c>
      <c r="K122" s="85" t="s">
        <v>138</v>
      </c>
      <c r="L122" s="82">
        <v>174.054</v>
      </c>
      <c r="M122" s="82">
        <v>146.023</v>
      </c>
      <c r="N122" s="82">
        <v>104.001</v>
      </c>
      <c r="O122" s="50">
        <v>1.26</v>
      </c>
      <c r="P122" s="50">
        <v>3.27</v>
      </c>
      <c r="AJ122" s="85">
        <v>75</v>
      </c>
      <c r="AK122" s="85" t="s">
        <v>892</v>
      </c>
      <c r="AL122" s="85">
        <v>10.1</v>
      </c>
      <c r="AM122" s="85" t="s">
        <v>921</v>
      </c>
      <c r="AN122" s="85" t="s">
        <v>922</v>
      </c>
      <c r="AO122" s="85" t="s">
        <v>923</v>
      </c>
      <c r="AP122" s="85">
        <v>229.10942327199999</v>
      </c>
      <c r="AQ122" s="85">
        <v>230.116699724</v>
      </c>
      <c r="AR122" s="85">
        <v>247.14324883</v>
      </c>
      <c r="AS122" s="85">
        <v>252.09864435200001</v>
      </c>
      <c r="AT122" s="85">
        <v>228.10214682</v>
      </c>
      <c r="AU122" s="85">
        <v>22206</v>
      </c>
      <c r="AV122" s="85">
        <v>20848</v>
      </c>
      <c r="AW122" s="85">
        <v>0.56999999999999995</v>
      </c>
      <c r="AX122" s="85">
        <v>2.081</v>
      </c>
      <c r="AY122" s="85">
        <v>7.0304000000000002</v>
      </c>
      <c r="AZ122" s="85" t="b">
        <v>0</v>
      </c>
    </row>
    <row r="123" spans="1:52" x14ac:dyDescent="0.25">
      <c r="A123" s="38">
        <v>122</v>
      </c>
      <c r="B123" s="85" t="s">
        <v>1083</v>
      </c>
      <c r="C123" s="85" t="s">
        <v>99</v>
      </c>
      <c r="D123" s="85" t="s">
        <v>239</v>
      </c>
      <c r="E123" s="82">
        <v>202.08539999999999</v>
      </c>
      <c r="F123" s="86" t="s">
        <v>1084</v>
      </c>
      <c r="G123" s="87" t="s">
        <v>269</v>
      </c>
      <c r="H123" s="85" t="s">
        <v>529</v>
      </c>
      <c r="I123" s="85" t="s">
        <v>1085</v>
      </c>
      <c r="J123" s="85" t="s">
        <v>1086</v>
      </c>
      <c r="K123" s="85" t="s">
        <v>138</v>
      </c>
      <c r="L123" s="82">
        <v>146.02279999999999</v>
      </c>
      <c r="M123" s="82">
        <v>104.001</v>
      </c>
      <c r="N123" s="82">
        <v>79.005799999999994</v>
      </c>
      <c r="O123" s="50">
        <v>-0.1</v>
      </c>
      <c r="P123" s="50">
        <v>2.23</v>
      </c>
      <c r="AJ123" s="85">
        <v>90</v>
      </c>
      <c r="AK123" s="85" t="s">
        <v>892</v>
      </c>
      <c r="AL123" s="85">
        <v>7.6</v>
      </c>
      <c r="AM123" s="85" t="s">
        <v>921</v>
      </c>
      <c r="AN123" s="85" t="s">
        <v>922</v>
      </c>
      <c r="AO123" s="85" t="s">
        <v>923</v>
      </c>
      <c r="AP123" s="85">
        <v>201.07812314399999</v>
      </c>
      <c r="AQ123" s="85">
        <v>202.085399596</v>
      </c>
      <c r="AR123" s="85">
        <v>219.11194870200001</v>
      </c>
      <c r="AS123" s="85">
        <v>224.06734422400001</v>
      </c>
      <c r="AT123" s="85">
        <v>200.070846692</v>
      </c>
      <c r="AU123" s="85">
        <v>108201</v>
      </c>
      <c r="AV123" s="85">
        <v>97278</v>
      </c>
      <c r="AW123" s="85">
        <v>0.21729999999999999</v>
      </c>
      <c r="AX123" s="85">
        <v>1.1950000000000001</v>
      </c>
      <c r="AY123" s="85">
        <v>5.5929000000000002</v>
      </c>
      <c r="AZ123" s="85" t="b">
        <v>1</v>
      </c>
    </row>
    <row r="124" spans="1:52" x14ac:dyDescent="0.25">
      <c r="A124" s="38">
        <v>123</v>
      </c>
      <c r="B124" s="85" t="s">
        <v>123</v>
      </c>
      <c r="C124" s="85" t="s">
        <v>123</v>
      </c>
      <c r="D124" s="85" t="s">
        <v>242</v>
      </c>
      <c r="E124" s="82">
        <v>277.20420000000001</v>
      </c>
      <c r="F124" s="86" t="s">
        <v>1094</v>
      </c>
      <c r="G124" s="87" t="s">
        <v>269</v>
      </c>
      <c r="H124" s="85" t="s">
        <v>532</v>
      </c>
      <c r="I124" s="85" t="s">
        <v>1095</v>
      </c>
      <c r="J124" s="85" t="s">
        <v>1096</v>
      </c>
      <c r="K124" s="85" t="s">
        <v>138</v>
      </c>
      <c r="L124" s="82">
        <v>260.20089999999999</v>
      </c>
      <c r="M124" s="82">
        <v>215.143</v>
      </c>
      <c r="N124" s="82">
        <v>58.065100000000001</v>
      </c>
      <c r="O124" s="50">
        <v>2.91</v>
      </c>
      <c r="P124" s="50">
        <v>3.28</v>
      </c>
      <c r="AJ124" s="85">
        <v>30</v>
      </c>
      <c r="AK124" s="85" t="s">
        <v>892</v>
      </c>
      <c r="AL124" s="85">
        <v>6.2</v>
      </c>
      <c r="AM124" s="85" t="s">
        <v>921</v>
      </c>
      <c r="AN124" s="85" t="s">
        <v>922</v>
      </c>
      <c r="AO124" s="85" t="s">
        <v>923</v>
      </c>
      <c r="AP124" s="85">
        <v>277.204179114</v>
      </c>
      <c r="AQ124" s="85">
        <v>278.21145556599998</v>
      </c>
      <c r="AR124" s="85">
        <v>295.23800467199999</v>
      </c>
      <c r="AS124" s="85">
        <v>300.19340019399999</v>
      </c>
      <c r="AT124" s="85">
        <v>276.19690266200001</v>
      </c>
      <c r="AU124" s="85">
        <v>5656</v>
      </c>
      <c r="AV124" s="85">
        <v>5454</v>
      </c>
      <c r="AW124" s="85">
        <v>-0.46550000000000002</v>
      </c>
      <c r="AX124" s="85">
        <v>2.8290000000000002</v>
      </c>
      <c r="AY124" s="85">
        <v>8.2440999999999995</v>
      </c>
      <c r="AZ124" s="85" t="b">
        <v>0</v>
      </c>
    </row>
    <row r="125" spans="1:52" x14ac:dyDescent="0.25">
      <c r="A125" s="38">
        <v>124</v>
      </c>
      <c r="B125" s="85" t="s">
        <v>1101</v>
      </c>
      <c r="C125" s="85" t="s">
        <v>293</v>
      </c>
      <c r="D125" s="85" t="s">
        <v>240</v>
      </c>
      <c r="E125" s="82">
        <v>263.18853000000001</v>
      </c>
      <c r="F125" s="86" t="s">
        <v>1102</v>
      </c>
      <c r="G125" s="87" t="s">
        <v>269</v>
      </c>
      <c r="H125" s="85" t="s">
        <v>534</v>
      </c>
      <c r="I125" s="85" t="s">
        <v>1103</v>
      </c>
      <c r="J125" s="85" t="s">
        <v>1104</v>
      </c>
      <c r="K125" s="85" t="s">
        <v>138</v>
      </c>
      <c r="L125" s="82">
        <v>58.066099999999999</v>
      </c>
      <c r="M125" s="82">
        <v>107.0485</v>
      </c>
      <c r="N125" s="82">
        <v>133.06399999999999</v>
      </c>
      <c r="O125" s="50">
        <v>2.2599999999999998</v>
      </c>
      <c r="P125" s="50">
        <v>2.72</v>
      </c>
      <c r="AL125" s="85">
        <v>5.2</v>
      </c>
      <c r="AP125" s="85">
        <v>263.18852905</v>
      </c>
      <c r="AQ125" s="85">
        <v>264.19580550199998</v>
      </c>
      <c r="AR125" s="85">
        <v>281.22235460799999</v>
      </c>
      <c r="AS125" s="85">
        <v>286.17775012999999</v>
      </c>
      <c r="AT125" s="85">
        <v>262.18125259800001</v>
      </c>
      <c r="AU125" s="85">
        <v>125017</v>
      </c>
      <c r="AV125" s="85">
        <v>111300</v>
      </c>
      <c r="AW125" s="85">
        <v>-0.53</v>
      </c>
      <c r="AX125" s="85">
        <v>2.508</v>
      </c>
      <c r="AY125" s="85">
        <v>7.7232000000000003</v>
      </c>
      <c r="AZ125" s="85" t="b">
        <v>1</v>
      </c>
    </row>
    <row r="126" spans="1:52" ht="14.25" customHeight="1" x14ac:dyDescent="0.25">
      <c r="A126" s="38">
        <v>125</v>
      </c>
      <c r="B126" s="85" t="s">
        <v>122</v>
      </c>
      <c r="C126" s="85" t="s">
        <v>122</v>
      </c>
      <c r="D126" s="85" t="s">
        <v>240</v>
      </c>
      <c r="E126" s="82">
        <v>263.18849999999998</v>
      </c>
      <c r="F126" s="86" t="s">
        <v>1087</v>
      </c>
      <c r="G126" s="87" t="s">
        <v>269</v>
      </c>
      <c r="H126" s="85" t="s">
        <v>530</v>
      </c>
      <c r="I126" s="85" t="s">
        <v>1088</v>
      </c>
      <c r="J126" s="85" t="s">
        <v>1089</v>
      </c>
      <c r="K126" s="85" t="s">
        <v>138</v>
      </c>
      <c r="L126" s="82">
        <v>246.18520000000001</v>
      </c>
      <c r="M126" s="82">
        <v>58.065100000000001</v>
      </c>
      <c r="N126" s="82">
        <v>56.049799999999998</v>
      </c>
      <c r="O126" s="50">
        <v>2.5099999999999998</v>
      </c>
      <c r="P126" s="50">
        <v>3.01</v>
      </c>
      <c r="AJ126" s="85">
        <v>30</v>
      </c>
      <c r="AK126" s="85" t="s">
        <v>892</v>
      </c>
      <c r="AL126" s="85">
        <v>4.9000000000000004</v>
      </c>
      <c r="AM126" s="85" t="s">
        <v>921</v>
      </c>
      <c r="AN126" s="85" t="s">
        <v>922</v>
      </c>
      <c r="AO126" s="85" t="s">
        <v>923</v>
      </c>
      <c r="AP126" s="85">
        <v>263.18852905</v>
      </c>
      <c r="AQ126" s="85">
        <v>264.19580550199998</v>
      </c>
      <c r="AR126" s="85">
        <v>281.22235460799999</v>
      </c>
      <c r="AS126" s="85">
        <v>286.17775012999999</v>
      </c>
      <c r="AT126" s="85">
        <v>262.18125259800001</v>
      </c>
      <c r="AU126" s="85">
        <v>33741</v>
      </c>
      <c r="AV126" s="85">
        <v>31105</v>
      </c>
      <c r="AW126" s="85">
        <v>-0.17749999999999999</v>
      </c>
      <c r="AX126" s="85">
        <v>2.4340000000000002</v>
      </c>
      <c r="AY126" s="85">
        <v>7.6032000000000002</v>
      </c>
      <c r="AZ126" s="85" t="b">
        <v>0</v>
      </c>
    </row>
    <row r="127" spans="1:52" x14ac:dyDescent="0.25">
      <c r="A127" s="38">
        <v>126</v>
      </c>
      <c r="B127" s="85" t="s">
        <v>1097</v>
      </c>
      <c r="C127" s="85" t="s">
        <v>294</v>
      </c>
      <c r="D127" s="85" t="s">
        <v>240</v>
      </c>
      <c r="E127" s="82">
        <v>263.18853000000001</v>
      </c>
      <c r="F127" s="86" t="s">
        <v>1098</v>
      </c>
      <c r="G127" s="87" t="s">
        <v>269</v>
      </c>
      <c r="H127" s="85" t="s">
        <v>533</v>
      </c>
      <c r="I127" s="85" t="s">
        <v>1099</v>
      </c>
      <c r="J127" s="85" t="s">
        <v>1100</v>
      </c>
      <c r="K127" s="85" t="s">
        <v>138</v>
      </c>
      <c r="L127" s="82">
        <v>121.06399999999999</v>
      </c>
      <c r="M127" s="82">
        <v>44.051400000000001</v>
      </c>
      <c r="N127" s="82">
        <v>147.0796</v>
      </c>
      <c r="O127" s="50">
        <v>2.37</v>
      </c>
      <c r="P127" s="50">
        <v>3.07</v>
      </c>
    </row>
    <row r="128" spans="1:52" x14ac:dyDescent="0.25">
      <c r="A128" s="38">
        <v>127</v>
      </c>
      <c r="B128" s="85" t="s">
        <v>1090</v>
      </c>
      <c r="C128" s="85" t="s">
        <v>107</v>
      </c>
      <c r="D128" s="85" t="s">
        <v>241</v>
      </c>
      <c r="E128" s="82">
        <v>279.18344000000002</v>
      </c>
      <c r="F128" s="86" t="s">
        <v>1091</v>
      </c>
      <c r="G128" s="87" t="s">
        <v>269</v>
      </c>
      <c r="H128" s="85" t="s">
        <v>531</v>
      </c>
      <c r="I128" s="85" t="s">
        <v>1092</v>
      </c>
      <c r="J128" s="85" t="s">
        <v>1093</v>
      </c>
      <c r="K128" s="85" t="s">
        <v>138</v>
      </c>
      <c r="L128" s="82">
        <v>135.04339999999999</v>
      </c>
      <c r="M128" s="82">
        <v>58.065800000000003</v>
      </c>
      <c r="N128" s="82">
        <v>107.0483</v>
      </c>
      <c r="O128" s="50">
        <v>-0.12</v>
      </c>
      <c r="P128" s="50">
        <v>2.2400000000000002</v>
      </c>
    </row>
    <row r="129" spans="1:52" x14ac:dyDescent="0.25">
      <c r="A129" s="38">
        <v>128</v>
      </c>
      <c r="B129" s="85" t="s">
        <v>115</v>
      </c>
      <c r="C129" s="85" t="s">
        <v>115</v>
      </c>
      <c r="D129" s="85" t="s">
        <v>243</v>
      </c>
      <c r="E129" s="82">
        <v>119.0483</v>
      </c>
      <c r="F129" s="86" t="s">
        <v>1105</v>
      </c>
      <c r="G129" s="86" t="s">
        <v>1105</v>
      </c>
      <c r="H129" s="85" t="s">
        <v>535</v>
      </c>
      <c r="I129" s="85" t="s">
        <v>1106</v>
      </c>
      <c r="J129" s="85" t="s">
        <v>1107</v>
      </c>
      <c r="K129" s="85" t="s">
        <v>138</v>
      </c>
      <c r="L129" s="82">
        <v>92.049499999999995</v>
      </c>
      <c r="M129" s="82">
        <v>65.038600000000002</v>
      </c>
      <c r="N129" s="82">
        <v>53.002279999999999</v>
      </c>
      <c r="O129" s="50">
        <v>1.34</v>
      </c>
      <c r="P129" s="50">
        <v>1.17</v>
      </c>
      <c r="AJ129" s="85">
        <v>90</v>
      </c>
      <c r="AK129" s="85" t="s">
        <v>892</v>
      </c>
      <c r="AL129" s="85">
        <v>4.4000000000000004</v>
      </c>
      <c r="AM129" s="85" t="s">
        <v>921</v>
      </c>
      <c r="AN129" s="85" t="s">
        <v>922</v>
      </c>
      <c r="AO129" s="85" t="s">
        <v>923</v>
      </c>
      <c r="AP129" s="85">
        <v>119.04834719</v>
      </c>
      <c r="AQ129" s="85">
        <v>120.055623642</v>
      </c>
      <c r="AR129" s="85">
        <v>137.082172748</v>
      </c>
      <c r="AS129" s="85">
        <v>142.03756827000001</v>
      </c>
      <c r="AT129" s="85">
        <v>118.041070738</v>
      </c>
      <c r="AU129" s="85">
        <v>7220</v>
      </c>
      <c r="AV129" s="85">
        <v>6950</v>
      </c>
      <c r="AW129" s="85">
        <v>0.41930000000000001</v>
      </c>
      <c r="AX129" s="85">
        <v>1.1990000000000001</v>
      </c>
      <c r="AY129" s="85">
        <v>5.5994000000000002</v>
      </c>
      <c r="AZ129" s="85" t="b">
        <v>0</v>
      </c>
    </row>
    <row r="130" spans="1:52" x14ac:dyDescent="0.25">
      <c r="A130" s="38">
        <v>129</v>
      </c>
      <c r="B130" s="85" t="s">
        <v>1108</v>
      </c>
      <c r="C130" s="85" t="s">
        <v>97</v>
      </c>
      <c r="D130" s="85" t="s">
        <v>244</v>
      </c>
      <c r="E130" s="82">
        <v>163.03819999999999</v>
      </c>
      <c r="F130" s="86" t="s">
        <v>1109</v>
      </c>
      <c r="G130" s="86" t="s">
        <v>1110</v>
      </c>
      <c r="H130" s="85" t="s">
        <v>536</v>
      </c>
      <c r="I130" s="85" t="s">
        <v>1111</v>
      </c>
      <c r="J130" s="85" t="s">
        <v>1112</v>
      </c>
      <c r="K130" s="85" t="s">
        <v>138</v>
      </c>
      <c r="L130" s="82">
        <v>65.039299999999997</v>
      </c>
      <c r="M130" s="82">
        <v>80.05</v>
      </c>
      <c r="N130" s="82">
        <v>108.0446</v>
      </c>
      <c r="O130" s="50">
        <v>1.46</v>
      </c>
      <c r="P130" s="50">
        <v>1.05</v>
      </c>
      <c r="AJ130" s="85">
        <v>90</v>
      </c>
      <c r="AK130" s="85" t="s">
        <v>892</v>
      </c>
      <c r="AL130" s="85">
        <v>3.9</v>
      </c>
      <c r="AM130" s="85" t="s">
        <v>921</v>
      </c>
      <c r="AN130" s="85" t="s">
        <v>922</v>
      </c>
      <c r="AO130" s="85" t="s">
        <v>923</v>
      </c>
      <c r="AP130" s="85">
        <v>163.03817642999999</v>
      </c>
      <c r="AQ130" s="85">
        <v>164.04545288200001</v>
      </c>
      <c r="AR130" s="85">
        <v>181.07200198800001</v>
      </c>
      <c r="AS130" s="85">
        <v>186.02739750999999</v>
      </c>
      <c r="AT130" s="85">
        <v>162.03089997800001</v>
      </c>
      <c r="AU130" s="85">
        <v>72917</v>
      </c>
      <c r="AV130" s="85">
        <v>65749</v>
      </c>
      <c r="AW130" s="85">
        <v>-1.61E-2</v>
      </c>
      <c r="AX130" s="85">
        <v>0.81399999999999995</v>
      </c>
      <c r="AY130" s="85">
        <v>4.9747000000000003</v>
      </c>
      <c r="AZ130" s="85" t="b">
        <v>1</v>
      </c>
    </row>
    <row r="131" spans="1:52" x14ac:dyDescent="0.25">
      <c r="A131" s="38">
        <v>130</v>
      </c>
      <c r="B131" s="85" t="s">
        <v>1113</v>
      </c>
      <c r="C131" s="85" t="s">
        <v>27</v>
      </c>
      <c r="D131" s="85" t="s">
        <v>245</v>
      </c>
      <c r="E131" s="82">
        <v>214.97108</v>
      </c>
      <c r="F131" s="86" t="s">
        <v>1114</v>
      </c>
      <c r="G131" s="87" t="s">
        <v>269</v>
      </c>
      <c r="H131" s="85" t="s">
        <v>537</v>
      </c>
      <c r="I131" s="85" t="s">
        <v>1115</v>
      </c>
      <c r="J131" s="85" t="s">
        <v>1116</v>
      </c>
      <c r="K131" s="85" t="s">
        <v>139</v>
      </c>
      <c r="L131" s="82">
        <v>134.0076</v>
      </c>
      <c r="M131" s="82">
        <v>150.0026</v>
      </c>
      <c r="N131" s="83" t="s">
        <v>564</v>
      </c>
      <c r="O131" s="50">
        <v>1.67</v>
      </c>
      <c r="P131" s="50">
        <v>-0.99</v>
      </c>
      <c r="AJ131" s="85">
        <v>70</v>
      </c>
      <c r="AK131" s="85" t="s">
        <v>892</v>
      </c>
      <c r="AL131" s="85">
        <v>4.4000000000000004</v>
      </c>
      <c r="AM131" s="85" t="s">
        <v>921</v>
      </c>
      <c r="AN131" s="85" t="s">
        <v>922</v>
      </c>
      <c r="AO131" s="85" t="s">
        <v>923</v>
      </c>
      <c r="AP131" s="85">
        <v>214.97108449000001</v>
      </c>
      <c r="AQ131" s="85">
        <v>215.97836094199999</v>
      </c>
      <c r="AR131" s="85">
        <v>233.004910048</v>
      </c>
      <c r="AS131" s="85">
        <v>237.96030557</v>
      </c>
      <c r="AT131" s="85">
        <v>213.963808038</v>
      </c>
      <c r="AU131" s="85">
        <v>30647</v>
      </c>
      <c r="AV131" s="85">
        <v>28443</v>
      </c>
      <c r="AW131" s="85">
        <v>1.1120000000000001</v>
      </c>
      <c r="AX131" s="85">
        <v>0.158</v>
      </c>
      <c r="AY131" s="85">
        <v>3.9104000000000001</v>
      </c>
      <c r="AZ131" s="85" t="b">
        <v>1</v>
      </c>
    </row>
    <row r="132" spans="1:52" x14ac:dyDescent="0.25">
      <c r="A132" s="38">
        <v>131</v>
      </c>
      <c r="B132" s="85" t="s">
        <v>1117</v>
      </c>
      <c r="C132" s="85" t="s">
        <v>28</v>
      </c>
      <c r="D132" s="85" t="s">
        <v>246</v>
      </c>
      <c r="E132" s="82">
        <v>202.988843</v>
      </c>
      <c r="F132" s="86" t="s">
        <v>1118</v>
      </c>
      <c r="G132" s="86" t="s">
        <v>1119</v>
      </c>
      <c r="H132" s="85" t="s">
        <v>538</v>
      </c>
      <c r="I132" s="85" t="s">
        <v>1120</v>
      </c>
      <c r="J132" s="85" t="s">
        <v>1121</v>
      </c>
      <c r="K132" s="85" t="s">
        <v>139</v>
      </c>
      <c r="L132" s="82">
        <v>79.957300000000004</v>
      </c>
      <c r="M132" s="82">
        <v>59.0139</v>
      </c>
      <c r="N132" s="82">
        <v>155.98670000000001</v>
      </c>
      <c r="O132" s="50">
        <v>0.69</v>
      </c>
      <c r="P132" s="50">
        <v>-1.35</v>
      </c>
      <c r="AJ132" s="85">
        <v>25</v>
      </c>
      <c r="AK132" s="85" t="s">
        <v>721</v>
      </c>
      <c r="AL132" s="85">
        <v>2.76</v>
      </c>
      <c r="AM132" s="85" t="s">
        <v>722</v>
      </c>
      <c r="AN132" s="85" t="s">
        <v>847</v>
      </c>
      <c r="AO132" s="85" t="s">
        <v>724</v>
      </c>
      <c r="AP132" s="85">
        <v>202.988843</v>
      </c>
      <c r="AQ132" s="85">
        <v>203.99611945199999</v>
      </c>
      <c r="AR132" s="85">
        <v>221.02266855799999</v>
      </c>
      <c r="AS132" s="85">
        <v>225.97806408</v>
      </c>
      <c r="AT132" s="85">
        <v>201.98156654799999</v>
      </c>
      <c r="AU132" s="85">
        <v>7387</v>
      </c>
      <c r="AV132" s="85">
        <v>7109</v>
      </c>
      <c r="AW132" s="85">
        <v>0.62839999999999996</v>
      </c>
      <c r="AX132" s="85">
        <v>0.50800000000000001</v>
      </c>
      <c r="AY132" s="85">
        <v>4.4782000000000002</v>
      </c>
      <c r="AZ132" s="85" t="b">
        <v>1</v>
      </c>
    </row>
    <row r="133" spans="1:52" x14ac:dyDescent="0.25">
      <c r="A133" s="38">
        <v>132</v>
      </c>
      <c r="B133" s="85" t="s">
        <v>1122</v>
      </c>
      <c r="C133" s="85" t="s">
        <v>29</v>
      </c>
      <c r="D133" s="85" t="s">
        <v>247</v>
      </c>
      <c r="E133" s="82">
        <v>173.99868000000001</v>
      </c>
      <c r="F133" s="86" t="s">
        <v>1123</v>
      </c>
      <c r="G133" s="86" t="s">
        <v>1124</v>
      </c>
      <c r="H133" s="85" t="s">
        <v>539</v>
      </c>
      <c r="I133" s="85" t="s">
        <v>1125</v>
      </c>
      <c r="J133" s="85" t="s">
        <v>1126</v>
      </c>
      <c r="K133" s="85" t="s">
        <v>139</v>
      </c>
      <c r="L133" s="82">
        <v>79.957300000000004</v>
      </c>
      <c r="M133" s="82">
        <v>59.0139</v>
      </c>
      <c r="N133" s="82">
        <v>93.034599999999998</v>
      </c>
      <c r="O133" s="50">
        <v>-1.67</v>
      </c>
      <c r="P133" s="50">
        <v>-1.65</v>
      </c>
      <c r="AJ133" s="85">
        <v>25</v>
      </c>
      <c r="AK133" s="85" t="s">
        <v>721</v>
      </c>
      <c r="AL133" s="85">
        <v>1.31</v>
      </c>
      <c r="AM133" s="85" t="s">
        <v>722</v>
      </c>
      <c r="AN133" s="85" t="s">
        <v>847</v>
      </c>
      <c r="AO133" s="85" t="s">
        <v>724</v>
      </c>
      <c r="AP133" s="85">
        <v>173.99867940199999</v>
      </c>
      <c r="AQ133" s="85">
        <v>175.00595585400001</v>
      </c>
      <c r="AR133" s="85">
        <v>192.03250496000001</v>
      </c>
      <c r="AS133" s="85">
        <v>196.98790048199999</v>
      </c>
      <c r="AT133" s="85">
        <v>172.99140295000001</v>
      </c>
      <c r="AU133" s="85">
        <v>4765</v>
      </c>
      <c r="AV133" s="85">
        <v>4601</v>
      </c>
      <c r="AW133" s="85">
        <v>-0.14799999999999999</v>
      </c>
      <c r="AX133" s="85">
        <v>0.21</v>
      </c>
      <c r="AY133" s="85">
        <v>3.9946999999999999</v>
      </c>
      <c r="AZ133" s="85" t="b">
        <v>1</v>
      </c>
    </row>
    <row r="134" spans="1:52" x14ac:dyDescent="0.25">
      <c r="A134" s="38">
        <v>133</v>
      </c>
      <c r="B134" s="85" t="s">
        <v>1127</v>
      </c>
      <c r="C134" s="85" t="s">
        <v>30</v>
      </c>
      <c r="D134" s="85" t="s">
        <v>248</v>
      </c>
      <c r="E134" s="82">
        <v>200.05016699999999</v>
      </c>
      <c r="F134" s="86" t="s">
        <v>1128</v>
      </c>
      <c r="G134" s="86" t="s">
        <v>1129</v>
      </c>
      <c r="H134" s="85" t="s">
        <v>540</v>
      </c>
      <c r="I134" s="85" t="s">
        <v>1130</v>
      </c>
      <c r="J134" s="85" t="s">
        <v>1131</v>
      </c>
      <c r="K134" s="85" t="s">
        <v>139</v>
      </c>
      <c r="L134" s="82">
        <v>183.0127</v>
      </c>
      <c r="M134" s="82">
        <v>119.04989999999999</v>
      </c>
      <c r="N134" s="82">
        <v>79.957499999999996</v>
      </c>
      <c r="O134" s="50">
        <v>1.81</v>
      </c>
      <c r="P134" s="50">
        <v>0.28999999999999998</v>
      </c>
      <c r="AK134" s="85" t="s">
        <v>721</v>
      </c>
      <c r="AL134" s="85">
        <v>5.2</v>
      </c>
      <c r="AM134" s="85" t="s">
        <v>722</v>
      </c>
      <c r="AN134" s="85" t="s">
        <v>847</v>
      </c>
      <c r="AO134" s="85" t="s">
        <v>724</v>
      </c>
      <c r="AP134" s="85">
        <v>200.05071497399999</v>
      </c>
      <c r="AQ134" s="85">
        <v>201.057991426</v>
      </c>
      <c r="AR134" s="85">
        <v>218.08454053200001</v>
      </c>
      <c r="AS134" s="85">
        <v>223.03993605400001</v>
      </c>
      <c r="AT134" s="85">
        <v>199.043438522</v>
      </c>
      <c r="AU134" s="85">
        <v>6640</v>
      </c>
      <c r="AV134" s="85">
        <v>6388</v>
      </c>
      <c r="AW134" s="85">
        <v>0.79239999999999999</v>
      </c>
      <c r="AX134" s="85">
        <v>2.0209999999999999</v>
      </c>
      <c r="AY134" s="85">
        <v>6.9330999999999996</v>
      </c>
      <c r="AZ134" s="85" t="b">
        <v>1</v>
      </c>
    </row>
    <row r="135" spans="1:52" x14ac:dyDescent="0.25">
      <c r="A135" s="38">
        <v>134</v>
      </c>
      <c r="B135" s="85" t="s">
        <v>1132</v>
      </c>
      <c r="C135" s="85" t="s">
        <v>31</v>
      </c>
      <c r="D135" s="85" t="s">
        <v>249</v>
      </c>
      <c r="E135" s="82">
        <v>152.046796</v>
      </c>
      <c r="F135" s="86" t="s">
        <v>1133</v>
      </c>
      <c r="G135" s="87" t="s">
        <v>269</v>
      </c>
      <c r="H135" s="85" t="s">
        <v>541</v>
      </c>
      <c r="I135" s="85" t="s">
        <v>1134</v>
      </c>
      <c r="J135" s="85" t="s">
        <v>1135</v>
      </c>
      <c r="K135" s="85" t="s">
        <v>139</v>
      </c>
      <c r="L135" s="82">
        <v>93.034599999999998</v>
      </c>
      <c r="M135" s="82">
        <v>65.0398</v>
      </c>
      <c r="N135" s="83" t="s">
        <v>564</v>
      </c>
      <c r="O135" s="50">
        <v>1.34</v>
      </c>
      <c r="P135" s="50">
        <v>1.33</v>
      </c>
      <c r="AK135" s="85" t="s">
        <v>721</v>
      </c>
      <c r="AL135" s="85">
        <v>5.5</v>
      </c>
      <c r="AM135" s="85" t="s">
        <v>722</v>
      </c>
      <c r="AN135" s="85" t="s">
        <v>847</v>
      </c>
      <c r="AO135" s="85" t="s">
        <v>724</v>
      </c>
      <c r="AP135" s="85">
        <v>152.047344116</v>
      </c>
      <c r="AQ135" s="85">
        <v>153.05462056799999</v>
      </c>
      <c r="AR135" s="85">
        <v>170.08116967399999</v>
      </c>
      <c r="AS135" s="85">
        <v>175.036565196</v>
      </c>
      <c r="AT135" s="85">
        <v>151.04006766399999</v>
      </c>
      <c r="AU135" s="85">
        <v>19188</v>
      </c>
      <c r="AV135" s="85">
        <v>18107</v>
      </c>
      <c r="AW135" s="85">
        <v>0.3609</v>
      </c>
      <c r="AX135" s="85">
        <v>1.319</v>
      </c>
      <c r="AY135" s="85">
        <v>5.7941000000000003</v>
      </c>
      <c r="AZ135" s="85" t="b">
        <v>1</v>
      </c>
    </row>
    <row r="136" spans="1:52" x14ac:dyDescent="0.25">
      <c r="A136" s="38">
        <v>135</v>
      </c>
      <c r="B136" s="85" t="s">
        <v>1136</v>
      </c>
      <c r="C136" s="85" t="s">
        <v>32</v>
      </c>
      <c r="D136" s="85" t="s">
        <v>250</v>
      </c>
      <c r="E136" s="82">
        <v>220.18270000000001</v>
      </c>
      <c r="F136" s="86" t="s">
        <v>1137</v>
      </c>
      <c r="G136" s="86" t="s">
        <v>1138</v>
      </c>
      <c r="H136" s="85" t="s">
        <v>542</v>
      </c>
      <c r="I136" s="85" t="s">
        <v>1139</v>
      </c>
      <c r="J136" s="85" t="s">
        <v>1140</v>
      </c>
      <c r="K136" s="85" t="s">
        <v>139</v>
      </c>
      <c r="L136" s="82">
        <v>106.04241</v>
      </c>
      <c r="M136" s="82">
        <v>119.05024</v>
      </c>
      <c r="N136" s="82">
        <v>191.05024</v>
      </c>
      <c r="O136" s="50">
        <v>6.19</v>
      </c>
      <c r="P136" s="50">
        <v>5.99</v>
      </c>
      <c r="AP136" s="85">
        <v>220.18271538799999</v>
      </c>
      <c r="AQ136" s="85">
        <v>221.18999184</v>
      </c>
      <c r="AR136" s="85">
        <v>238.21654094600001</v>
      </c>
      <c r="AS136" s="85">
        <v>243.17193646800001</v>
      </c>
      <c r="AT136" s="85">
        <v>219.17543893600001</v>
      </c>
      <c r="AU136" s="85">
        <v>1752</v>
      </c>
      <c r="AV136" s="85">
        <v>1688</v>
      </c>
      <c r="AW136" s="85">
        <v>-1.2576000000000001</v>
      </c>
      <c r="AX136" s="85">
        <v>6.5</v>
      </c>
      <c r="AY136" s="85">
        <v>14.200200000000001</v>
      </c>
      <c r="AZ136" s="85" t="b">
        <v>1</v>
      </c>
    </row>
    <row r="137" spans="1:52" x14ac:dyDescent="0.25">
      <c r="A137" s="38">
        <v>136</v>
      </c>
      <c r="B137" s="85" t="s">
        <v>1229</v>
      </c>
      <c r="C137" s="85" t="s">
        <v>1141</v>
      </c>
      <c r="D137" s="85" t="s">
        <v>251</v>
      </c>
      <c r="E137" s="82">
        <v>206.1671</v>
      </c>
      <c r="F137" s="86" t="s">
        <v>1142</v>
      </c>
      <c r="G137" s="87" t="s">
        <v>269</v>
      </c>
      <c r="H137" s="85" t="s">
        <v>562</v>
      </c>
      <c r="I137" s="85" t="s">
        <v>1143</v>
      </c>
      <c r="J137" s="85" t="s">
        <v>1144</v>
      </c>
      <c r="K137" s="85" t="s">
        <v>139</v>
      </c>
      <c r="L137" s="84">
        <v>177.16487430000001</v>
      </c>
      <c r="M137" s="84">
        <v>189.12848869999999</v>
      </c>
      <c r="N137" s="84">
        <v>93.034588360000001</v>
      </c>
      <c r="O137" s="50">
        <v>5.66</v>
      </c>
      <c r="P137" s="50">
        <v>5.5</v>
      </c>
      <c r="AP137" s="85">
        <v>206.16706532399999</v>
      </c>
      <c r="AQ137" s="85">
        <v>207.17434177600001</v>
      </c>
      <c r="AR137" s="85">
        <v>224.20089088200001</v>
      </c>
      <c r="AS137" s="85">
        <v>229.15628640400001</v>
      </c>
      <c r="AT137" s="85">
        <v>205.15978887200001</v>
      </c>
      <c r="AU137" s="85">
        <v>15730</v>
      </c>
      <c r="AV137" s="85">
        <v>14958</v>
      </c>
      <c r="AW137" s="85">
        <v>-0.96960000000000002</v>
      </c>
      <c r="AX137" s="85">
        <v>5.931</v>
      </c>
      <c r="AY137" s="85">
        <v>13.276999999999999</v>
      </c>
      <c r="AZ137" s="85" t="b">
        <v>1</v>
      </c>
    </row>
    <row r="138" spans="1:52" x14ac:dyDescent="0.25">
      <c r="A138" s="38">
        <v>137</v>
      </c>
      <c r="B138" s="85" t="s">
        <v>1230</v>
      </c>
      <c r="C138" s="85" t="s">
        <v>1145</v>
      </c>
      <c r="D138" s="85" t="s">
        <v>251</v>
      </c>
      <c r="E138" s="82">
        <v>206.1671</v>
      </c>
      <c r="F138" s="86" t="s">
        <v>1146</v>
      </c>
      <c r="G138" s="87" t="s">
        <v>269</v>
      </c>
      <c r="H138" s="85" t="s">
        <v>563</v>
      </c>
      <c r="I138" s="85" t="s">
        <v>1147</v>
      </c>
      <c r="J138" s="85" t="s">
        <v>1148</v>
      </c>
      <c r="K138" s="85" t="s">
        <v>139</v>
      </c>
      <c r="L138" s="82">
        <v>133.06587999999999</v>
      </c>
      <c r="M138" s="82">
        <v>117.03458999999999</v>
      </c>
      <c r="N138" s="82">
        <v>93.034589999999994</v>
      </c>
      <c r="O138" s="50">
        <v>4.93</v>
      </c>
      <c r="P138" s="50">
        <v>5.28</v>
      </c>
      <c r="AP138" s="85">
        <v>206.16706532399999</v>
      </c>
      <c r="AQ138" s="85">
        <v>207.17434177600001</v>
      </c>
      <c r="AR138" s="85">
        <v>224.20089088200001</v>
      </c>
      <c r="AS138" s="85">
        <v>229.15628640400001</v>
      </c>
      <c r="AT138" s="85">
        <v>205.15978887200001</v>
      </c>
      <c r="AU138" s="85">
        <v>8814</v>
      </c>
      <c r="AV138" s="85">
        <v>8483</v>
      </c>
      <c r="AW138" s="85">
        <v>3.5712999999999999</v>
      </c>
      <c r="AX138" s="85">
        <v>5.6849999999999996</v>
      </c>
      <c r="AY138" s="85">
        <v>12.8779</v>
      </c>
      <c r="AZ138" s="85" t="b">
        <v>1</v>
      </c>
    </row>
    <row r="139" spans="1:52" x14ac:dyDescent="0.25">
      <c r="A139" s="38">
        <v>138</v>
      </c>
      <c r="B139" s="85" t="s">
        <v>1149</v>
      </c>
      <c r="C139" s="85" t="s">
        <v>33</v>
      </c>
      <c r="D139" s="85" t="s">
        <v>252</v>
      </c>
      <c r="E139" s="82">
        <v>228.11500000000001</v>
      </c>
      <c r="F139" s="86" t="s">
        <v>1150</v>
      </c>
      <c r="G139" s="87" t="s">
        <v>269</v>
      </c>
      <c r="H139" s="85" t="s">
        <v>543</v>
      </c>
      <c r="I139" s="85" t="s">
        <v>1151</v>
      </c>
      <c r="J139" s="85" t="s">
        <v>1152</v>
      </c>
      <c r="K139" s="85" t="s">
        <v>139</v>
      </c>
      <c r="L139" s="82">
        <v>211.07643999999999</v>
      </c>
      <c r="M139" s="82">
        <v>133.06587999999999</v>
      </c>
      <c r="N139" s="82">
        <v>93.034580000000005</v>
      </c>
      <c r="O139" s="50">
        <v>3.43</v>
      </c>
      <c r="P139" s="50">
        <v>3.64</v>
      </c>
      <c r="AJ139" s="85">
        <v>22</v>
      </c>
      <c r="AK139" s="85" t="s">
        <v>721</v>
      </c>
      <c r="AL139" s="85">
        <v>14</v>
      </c>
      <c r="AM139" s="85" t="s">
        <v>921</v>
      </c>
      <c r="AN139" s="85" t="s">
        <v>922</v>
      </c>
      <c r="AO139" s="85" t="s">
        <v>923</v>
      </c>
      <c r="AP139" s="85">
        <v>228.115029752</v>
      </c>
      <c r="AQ139" s="85">
        <v>229.12230620400001</v>
      </c>
      <c r="AR139" s="85">
        <v>246.14885530999999</v>
      </c>
      <c r="AS139" s="85">
        <v>251.10425083199999</v>
      </c>
      <c r="AT139" s="85">
        <v>227.10775330000001</v>
      </c>
      <c r="AU139" s="85">
        <v>6623</v>
      </c>
      <c r="AV139" s="85">
        <v>6371</v>
      </c>
      <c r="AW139" s="85">
        <v>2.2035999999999998</v>
      </c>
      <c r="AX139" s="85">
        <v>4.5220000000000002</v>
      </c>
      <c r="AY139" s="85">
        <v>10.9909</v>
      </c>
      <c r="AZ139" s="85" t="b">
        <v>1</v>
      </c>
    </row>
    <row r="140" spans="1:52" x14ac:dyDescent="0.25">
      <c r="A140" s="38">
        <v>139</v>
      </c>
      <c r="B140" s="85" t="s">
        <v>1153</v>
      </c>
      <c r="C140" s="85" t="s">
        <v>34</v>
      </c>
      <c r="D140" s="85" t="s">
        <v>253</v>
      </c>
      <c r="E140" s="82">
        <v>336.05849999999998</v>
      </c>
      <c r="F140" s="86" t="s">
        <v>1154</v>
      </c>
      <c r="G140" s="87" t="s">
        <v>269</v>
      </c>
      <c r="H140" s="85" t="s">
        <v>544</v>
      </c>
      <c r="I140" s="85" t="s">
        <v>1155</v>
      </c>
      <c r="J140" s="85" t="s">
        <v>1156</v>
      </c>
      <c r="K140" s="85" t="s">
        <v>139</v>
      </c>
      <c r="L140" s="82">
        <v>265.04820000000001</v>
      </c>
      <c r="M140" s="82">
        <v>68.995800000000003</v>
      </c>
      <c r="N140" s="82">
        <v>143.03970000000001</v>
      </c>
      <c r="O140" s="50">
        <v>2.82</v>
      </c>
      <c r="P140" s="50">
        <v>4.47</v>
      </c>
      <c r="AP140" s="85">
        <v>336.05849876000002</v>
      </c>
      <c r="AQ140" s="85">
        <v>337.06577521200001</v>
      </c>
      <c r="AR140" s="85">
        <v>354.09232431800001</v>
      </c>
      <c r="AS140" s="85">
        <v>359.04771984000001</v>
      </c>
      <c r="AT140" s="85">
        <v>335.05122230799998</v>
      </c>
      <c r="AU140" s="85">
        <v>73864</v>
      </c>
      <c r="AV140" s="85">
        <v>66498</v>
      </c>
      <c r="AW140" s="85">
        <v>3.1158000000000001</v>
      </c>
      <c r="AX140" s="85">
        <v>5.8929999999999998</v>
      </c>
      <c r="AY140" s="85">
        <v>13.215400000000001</v>
      </c>
      <c r="AZ140" s="85" t="b">
        <v>1</v>
      </c>
    </row>
    <row r="141" spans="1:52" x14ac:dyDescent="0.25">
      <c r="A141" s="38">
        <v>140</v>
      </c>
      <c r="B141" s="85" t="s">
        <v>1157</v>
      </c>
      <c r="C141" s="85" t="s">
        <v>35</v>
      </c>
      <c r="D141" s="85" t="s">
        <v>254</v>
      </c>
      <c r="E141" s="82">
        <v>290.13069999999999</v>
      </c>
      <c r="F141" s="86" t="s">
        <v>1158</v>
      </c>
      <c r="G141" s="87" t="s">
        <v>269</v>
      </c>
      <c r="H141" s="85" t="s">
        <v>545</v>
      </c>
      <c r="I141" s="85" t="s">
        <v>1159</v>
      </c>
      <c r="J141" s="85" t="s">
        <v>1160</v>
      </c>
      <c r="K141" s="85" t="s">
        <v>139</v>
      </c>
      <c r="L141" s="82">
        <v>274.09989999999999</v>
      </c>
      <c r="M141" s="82">
        <v>273.09210000000002</v>
      </c>
      <c r="N141" s="82">
        <v>93.034599999999998</v>
      </c>
      <c r="O141" s="50">
        <v>4.57</v>
      </c>
      <c r="P141" s="50">
        <v>4.8600000000000003</v>
      </c>
      <c r="AP141" s="85">
        <v>290.130679816</v>
      </c>
      <c r="AQ141" s="85">
        <v>291.13795626799998</v>
      </c>
      <c r="AR141" s="85">
        <v>308.16450537399999</v>
      </c>
      <c r="AS141" s="85">
        <v>313.11990089599999</v>
      </c>
      <c r="AT141" s="85">
        <v>289.12340336400001</v>
      </c>
      <c r="AU141" s="85">
        <v>623849</v>
      </c>
      <c r="AV141" s="85">
        <v>541979</v>
      </c>
      <c r="AW141" s="85">
        <v>2.7694000000000001</v>
      </c>
      <c r="AX141" s="85">
        <v>5.7640000000000002</v>
      </c>
      <c r="AY141" s="85">
        <v>13.0061</v>
      </c>
      <c r="AZ141" s="85" t="b">
        <v>1</v>
      </c>
    </row>
    <row r="142" spans="1:52" x14ac:dyDescent="0.25">
      <c r="A142" s="38">
        <v>141</v>
      </c>
      <c r="B142" s="85" t="s">
        <v>1161</v>
      </c>
      <c r="C142" s="85" t="s">
        <v>36</v>
      </c>
      <c r="D142" s="85" t="s">
        <v>255</v>
      </c>
      <c r="E142" s="82">
        <v>242.13069999999999</v>
      </c>
      <c r="F142" s="86" t="s">
        <v>1162</v>
      </c>
      <c r="G142" s="87" t="s">
        <v>269</v>
      </c>
      <c r="H142" s="85" t="s">
        <v>546</v>
      </c>
      <c r="I142" s="85" t="s">
        <v>1163</v>
      </c>
      <c r="J142" s="85" t="s">
        <v>1164</v>
      </c>
      <c r="K142" s="85" t="s">
        <v>139</v>
      </c>
      <c r="L142" s="82">
        <v>211.07643999999999</v>
      </c>
      <c r="M142" s="82">
        <v>117.0346</v>
      </c>
      <c r="N142" s="82">
        <v>93.034580000000005</v>
      </c>
      <c r="O142" s="50">
        <v>3.96</v>
      </c>
      <c r="P142" s="50">
        <v>4.13</v>
      </c>
      <c r="AP142" s="85">
        <v>242.130679816</v>
      </c>
      <c r="AQ142" s="85">
        <v>243.13795626800001</v>
      </c>
      <c r="AR142" s="85">
        <v>260.16450537399999</v>
      </c>
      <c r="AS142" s="85">
        <v>265.11990089599999</v>
      </c>
      <c r="AT142" s="85">
        <v>241.12340336400001</v>
      </c>
      <c r="AU142" s="85">
        <v>66166</v>
      </c>
      <c r="AV142" s="85">
        <v>59553</v>
      </c>
      <c r="AW142" s="85">
        <v>1.8685</v>
      </c>
      <c r="AX142" s="85">
        <v>5.0910000000000002</v>
      </c>
      <c r="AY142" s="85">
        <v>11.914099999999999</v>
      </c>
      <c r="AZ142" s="85" t="b">
        <v>1</v>
      </c>
    </row>
    <row r="143" spans="1:52" x14ac:dyDescent="0.25">
      <c r="A143" s="38">
        <v>142</v>
      </c>
      <c r="B143" s="85" t="s">
        <v>1165</v>
      </c>
      <c r="C143" s="85" t="s">
        <v>37</v>
      </c>
      <c r="D143" s="85" t="s">
        <v>256</v>
      </c>
      <c r="E143" s="82">
        <v>352.1463</v>
      </c>
      <c r="F143" s="86" t="s">
        <v>1166</v>
      </c>
      <c r="G143" s="86" t="s">
        <v>1167</v>
      </c>
      <c r="H143" s="85" t="s">
        <v>547</v>
      </c>
      <c r="I143" s="85" t="s">
        <v>1168</v>
      </c>
      <c r="J143" s="85" t="s">
        <v>1169</v>
      </c>
      <c r="K143" s="85" t="s">
        <v>139</v>
      </c>
      <c r="L143" s="84">
        <v>323.14413880000001</v>
      </c>
      <c r="M143" s="84">
        <v>93.034588360000001</v>
      </c>
      <c r="N143" s="84">
        <v>77.039673739999998</v>
      </c>
      <c r="O143" s="50">
        <v>5.84</v>
      </c>
      <c r="P143" s="50">
        <v>6.08</v>
      </c>
      <c r="AP143" s="85">
        <v>352.14632988</v>
      </c>
      <c r="AQ143" s="85">
        <v>353.15360633199998</v>
      </c>
      <c r="AR143" s="85">
        <v>370.18015543799999</v>
      </c>
      <c r="AS143" s="85">
        <v>375.13555095999999</v>
      </c>
      <c r="AT143" s="85">
        <v>351.13905342800001</v>
      </c>
      <c r="AU143" s="85">
        <v>232881</v>
      </c>
      <c r="AV143" s="85">
        <v>203015</v>
      </c>
      <c r="AW143" s="85">
        <v>3.3351999999999999</v>
      </c>
      <c r="AX143" s="85">
        <v>7.0060000000000002</v>
      </c>
      <c r="AY143" s="85">
        <v>15.0212</v>
      </c>
      <c r="AZ143" s="85" t="b">
        <v>1</v>
      </c>
    </row>
    <row r="144" spans="1:52" x14ac:dyDescent="0.25">
      <c r="A144" s="38">
        <v>143</v>
      </c>
      <c r="B144" s="85" t="s">
        <v>1170</v>
      </c>
      <c r="C144" s="85" t="s">
        <v>38</v>
      </c>
      <c r="D144" s="85" t="s">
        <v>257</v>
      </c>
      <c r="E144" s="82">
        <v>280.00580000000002</v>
      </c>
      <c r="F144" s="86" t="s">
        <v>1171</v>
      </c>
      <c r="G144" s="86" t="s">
        <v>1172</v>
      </c>
      <c r="H144" s="85" t="s">
        <v>548</v>
      </c>
      <c r="I144" s="85" t="s">
        <v>1173</v>
      </c>
      <c r="J144" s="85" t="s">
        <v>1174</v>
      </c>
      <c r="K144" s="85" t="s">
        <v>139</v>
      </c>
      <c r="L144" s="84">
        <v>239.10775330000001</v>
      </c>
      <c r="M144" s="84">
        <v>149.09718860000001</v>
      </c>
      <c r="N144" s="84">
        <v>93.034588360000001</v>
      </c>
      <c r="O144" s="50">
        <v>4.3499999999999996</v>
      </c>
      <c r="P144" s="50">
        <v>4.74</v>
      </c>
      <c r="AP144" s="85">
        <v>256.14632988</v>
      </c>
      <c r="AQ144" s="85">
        <v>257.15360633199998</v>
      </c>
      <c r="AR144" s="85">
        <v>274.18015543799999</v>
      </c>
      <c r="AS144" s="85">
        <v>279.13555095999999</v>
      </c>
      <c r="AT144" s="85">
        <v>255.13905342800001</v>
      </c>
      <c r="AU144" s="85">
        <v>6620</v>
      </c>
      <c r="AV144" s="85">
        <v>6368</v>
      </c>
      <c r="AW144" s="85">
        <v>3.0964</v>
      </c>
      <c r="AX144" s="85">
        <v>4.9740000000000002</v>
      </c>
      <c r="AY144" s="85">
        <v>11.724299999999999</v>
      </c>
      <c r="AZ144" s="85" t="b">
        <v>1</v>
      </c>
    </row>
    <row r="145" spans="1:52" x14ac:dyDescent="0.25">
      <c r="A145" s="38">
        <v>144</v>
      </c>
      <c r="B145" s="85" t="s">
        <v>1175</v>
      </c>
      <c r="C145" s="85" t="s">
        <v>39</v>
      </c>
      <c r="D145" s="85" t="s">
        <v>258</v>
      </c>
      <c r="E145" s="82">
        <v>214.0994</v>
      </c>
      <c r="F145" s="86" t="s">
        <v>1176</v>
      </c>
      <c r="G145" s="87" t="s">
        <v>269</v>
      </c>
      <c r="H145" s="85" t="s">
        <v>549</v>
      </c>
      <c r="I145" s="85" t="s">
        <v>1177</v>
      </c>
      <c r="J145" s="85" t="s">
        <v>1178</v>
      </c>
      <c r="K145" s="85" t="s">
        <v>139</v>
      </c>
      <c r="L145" s="84">
        <v>197.06080309999999</v>
      </c>
      <c r="M145" s="84">
        <v>117.0345884</v>
      </c>
      <c r="N145" s="84">
        <v>93.034588360000001</v>
      </c>
      <c r="O145" s="50">
        <v>3.08</v>
      </c>
      <c r="P145" s="50">
        <v>3.19</v>
      </c>
      <c r="AJ145" s="88"/>
      <c r="AP145" s="85">
        <v>214.099379688</v>
      </c>
      <c r="AQ145" s="85">
        <v>215.10665614000001</v>
      </c>
      <c r="AR145" s="85">
        <v>232.13320524599999</v>
      </c>
      <c r="AS145" s="85">
        <v>237.08860076799999</v>
      </c>
      <c r="AT145" s="85">
        <v>213.09210323600001</v>
      </c>
      <c r="AU145" s="85">
        <v>608116</v>
      </c>
      <c r="AV145" s="85">
        <v>528599</v>
      </c>
      <c r="AW145" s="85">
        <v>1.6946000000000001</v>
      </c>
      <c r="AX145" s="85">
        <v>3.601</v>
      </c>
      <c r="AY145" s="85">
        <v>9.4966000000000008</v>
      </c>
      <c r="AZ145" s="85" t="b">
        <v>1</v>
      </c>
    </row>
    <row r="146" spans="1:52" x14ac:dyDescent="0.25">
      <c r="A146" s="38">
        <v>145</v>
      </c>
      <c r="B146" s="85" t="s">
        <v>1231</v>
      </c>
      <c r="C146" s="85" t="s">
        <v>1179</v>
      </c>
      <c r="D146" s="85" t="s">
        <v>259</v>
      </c>
      <c r="E146" s="82">
        <v>200.08369999999999</v>
      </c>
      <c r="F146" s="86" t="s">
        <v>1180</v>
      </c>
      <c r="G146" s="87" t="s">
        <v>269</v>
      </c>
      <c r="H146" s="85" t="s">
        <v>550</v>
      </c>
      <c r="I146" s="85" t="s">
        <v>1181</v>
      </c>
      <c r="J146" s="85" t="s">
        <v>1182</v>
      </c>
      <c r="K146" s="85" t="s">
        <v>139</v>
      </c>
      <c r="L146" s="84">
        <v>105.0345884</v>
      </c>
      <c r="M146" s="84">
        <v>171.08153859999999</v>
      </c>
      <c r="N146" s="84">
        <v>93.034588360000001</v>
      </c>
      <c r="O146" s="50">
        <v>2.73</v>
      </c>
      <c r="P146" s="50">
        <v>3.06</v>
      </c>
      <c r="AJ146" s="88"/>
      <c r="AP146" s="85">
        <v>200.083729624</v>
      </c>
      <c r="AQ146" s="85">
        <v>201.09100607600001</v>
      </c>
      <c r="AR146" s="85">
        <v>218.11755518199999</v>
      </c>
      <c r="AS146" s="85">
        <v>223.07295070399999</v>
      </c>
      <c r="AT146" s="85">
        <v>199.07645317199999</v>
      </c>
      <c r="AU146" s="85">
        <v>12111</v>
      </c>
      <c r="AV146" s="85">
        <v>11614</v>
      </c>
      <c r="AW146" s="85">
        <v>1.7456</v>
      </c>
      <c r="AX146" s="85">
        <v>3.1760000000000002</v>
      </c>
      <c r="AY146" s="85">
        <v>8.8071000000000002</v>
      </c>
      <c r="AZ146" s="85" t="b">
        <v>1</v>
      </c>
    </row>
    <row r="147" spans="1:52" x14ac:dyDescent="0.25">
      <c r="A147" s="38">
        <v>146</v>
      </c>
      <c r="B147" s="85" t="s">
        <v>1232</v>
      </c>
      <c r="C147" s="85" t="s">
        <v>1183</v>
      </c>
      <c r="D147" s="85" t="s">
        <v>259</v>
      </c>
      <c r="E147" s="82">
        <v>200.08369999999999</v>
      </c>
      <c r="F147" s="86" t="s">
        <v>1184</v>
      </c>
      <c r="G147" s="86" t="s">
        <v>1185</v>
      </c>
      <c r="H147" s="85" t="s">
        <v>551</v>
      </c>
      <c r="I147" s="85" t="s">
        <v>1186</v>
      </c>
      <c r="J147" s="85" t="s">
        <v>1187</v>
      </c>
      <c r="K147" s="85" t="s">
        <v>139</v>
      </c>
      <c r="L147" s="84">
        <v>183.045153</v>
      </c>
      <c r="M147" s="84">
        <v>105.0345884</v>
      </c>
      <c r="N147" s="84">
        <v>93.034588360000001</v>
      </c>
      <c r="O147" s="50">
        <v>2.73</v>
      </c>
      <c r="P147" s="50">
        <v>3.06</v>
      </c>
      <c r="AJ147" s="88"/>
      <c r="AP147" s="85">
        <v>200.083729624</v>
      </c>
      <c r="AQ147" s="85">
        <v>201.09100607600001</v>
      </c>
      <c r="AR147" s="85">
        <v>218.11755518199999</v>
      </c>
      <c r="AS147" s="85">
        <v>223.07295070399999</v>
      </c>
      <c r="AT147" s="85">
        <v>199.07645317199999</v>
      </c>
      <c r="AU147" s="85">
        <v>75575</v>
      </c>
      <c r="AV147" s="85">
        <v>68100</v>
      </c>
      <c r="AW147" s="85">
        <v>1.7456</v>
      </c>
      <c r="AX147" s="85">
        <v>2.9649999999999999</v>
      </c>
      <c r="AY147" s="85">
        <v>8.4647000000000006</v>
      </c>
      <c r="AZ147" s="85" t="b">
        <v>1</v>
      </c>
    </row>
    <row r="148" spans="1:52" x14ac:dyDescent="0.25">
      <c r="A148" s="38">
        <v>147</v>
      </c>
      <c r="B148" s="85" t="s">
        <v>1188</v>
      </c>
      <c r="C148" s="85" t="s">
        <v>40</v>
      </c>
      <c r="D148" s="85" t="s">
        <v>260</v>
      </c>
      <c r="E148" s="82">
        <v>350.13069999999999</v>
      </c>
      <c r="F148" s="86" t="s">
        <v>1189</v>
      </c>
      <c r="G148" s="87" t="s">
        <v>269</v>
      </c>
      <c r="H148" s="85" t="s">
        <v>552</v>
      </c>
      <c r="I148" s="85" t="s">
        <v>1190</v>
      </c>
      <c r="J148" s="85" t="s">
        <v>1191</v>
      </c>
      <c r="K148" s="85" t="s">
        <v>139</v>
      </c>
      <c r="L148" s="84">
        <v>321.0921032</v>
      </c>
      <c r="M148" s="84">
        <v>255.08153859999999</v>
      </c>
      <c r="N148" s="84">
        <v>93.034588360000001</v>
      </c>
      <c r="O148" s="50">
        <v>4.79</v>
      </c>
      <c r="P148" s="50">
        <v>6.08</v>
      </c>
      <c r="AJ148" s="83"/>
      <c r="AP148" s="85">
        <v>350.130679816</v>
      </c>
      <c r="AQ148" s="85">
        <v>351.13795626799998</v>
      </c>
      <c r="AR148" s="85">
        <v>368.16450537399999</v>
      </c>
      <c r="AS148" s="85">
        <v>373.11990089599999</v>
      </c>
      <c r="AT148" s="85">
        <v>349.12340336400001</v>
      </c>
      <c r="AU148" s="85">
        <v>76716</v>
      </c>
      <c r="AV148" s="85">
        <v>69174</v>
      </c>
      <c r="AW148" s="85">
        <v>2.944</v>
      </c>
      <c r="AX148" s="85">
        <v>6.9240000000000004</v>
      </c>
      <c r="AY148" s="85">
        <v>14.888199999999999</v>
      </c>
      <c r="AZ148" s="85" t="b">
        <v>1</v>
      </c>
    </row>
    <row r="149" spans="1:52" x14ac:dyDescent="0.25">
      <c r="A149" s="38">
        <v>148</v>
      </c>
      <c r="B149" s="85" t="s">
        <v>1192</v>
      </c>
      <c r="C149" s="85" t="s">
        <v>41</v>
      </c>
      <c r="D149" s="85" t="s">
        <v>261</v>
      </c>
      <c r="E149" s="82">
        <v>312.20890000000003</v>
      </c>
      <c r="F149" s="86" t="s">
        <v>1193</v>
      </c>
      <c r="G149" s="87" t="s">
        <v>269</v>
      </c>
      <c r="H149" s="85" t="s">
        <v>553</v>
      </c>
      <c r="I149" s="85" t="s">
        <v>1194</v>
      </c>
      <c r="J149" s="85" t="s">
        <v>1195</v>
      </c>
      <c r="K149" s="85" t="s">
        <v>139</v>
      </c>
      <c r="L149" s="84">
        <v>295.1703536</v>
      </c>
      <c r="M149" s="84">
        <v>177.12848869999999</v>
      </c>
      <c r="N149" s="84">
        <v>135.08153859999999</v>
      </c>
      <c r="O149" s="50">
        <v>6.11</v>
      </c>
      <c r="P149" s="50">
        <v>6.55</v>
      </c>
      <c r="AJ149" s="83"/>
      <c r="AP149" s="85">
        <v>312.20893013599999</v>
      </c>
      <c r="AQ149" s="85">
        <v>313.21620658799998</v>
      </c>
      <c r="AR149" s="85">
        <v>330.24275569399998</v>
      </c>
      <c r="AS149" s="85">
        <v>335.19815121599999</v>
      </c>
      <c r="AT149" s="85">
        <v>311.20165368400001</v>
      </c>
      <c r="AU149" s="85">
        <v>228537</v>
      </c>
      <c r="AV149" s="85">
        <v>198910</v>
      </c>
      <c r="AW149" s="85">
        <v>2.9582000000000002</v>
      </c>
      <c r="AX149" s="85">
        <v>6.91</v>
      </c>
      <c r="AY149" s="85">
        <v>14.865500000000001</v>
      </c>
      <c r="AZ149" s="85" t="b">
        <v>1</v>
      </c>
    </row>
    <row r="150" spans="1:52" x14ac:dyDescent="0.25">
      <c r="A150" s="38">
        <v>149</v>
      </c>
      <c r="B150" s="85" t="s">
        <v>1196</v>
      </c>
      <c r="C150" s="85" t="s">
        <v>42</v>
      </c>
      <c r="D150" s="85" t="s">
        <v>262</v>
      </c>
      <c r="E150" s="82">
        <v>346.19330000000002</v>
      </c>
      <c r="F150" s="86" t="s">
        <v>1197</v>
      </c>
      <c r="G150" s="86" t="s">
        <v>1198</v>
      </c>
      <c r="H150" s="85" t="s">
        <v>554</v>
      </c>
      <c r="I150" s="85" t="s">
        <v>1199</v>
      </c>
      <c r="J150" s="85" t="s">
        <v>1200</v>
      </c>
      <c r="K150" s="85" t="s">
        <v>139</v>
      </c>
      <c r="L150" s="84">
        <v>211.1128387</v>
      </c>
      <c r="M150" s="84">
        <v>93.034588360000001</v>
      </c>
      <c r="N150" s="84">
        <v>329.15470349999998</v>
      </c>
      <c r="O150" s="50">
        <v>6.12</v>
      </c>
      <c r="P150" s="50">
        <v>6.25</v>
      </c>
      <c r="AJ150" s="83"/>
      <c r="AP150" s="85">
        <v>346.19328007199999</v>
      </c>
      <c r="AQ150" s="85">
        <v>347.20055652399998</v>
      </c>
      <c r="AR150" s="85">
        <v>364.22710562999998</v>
      </c>
      <c r="AS150" s="85">
        <v>369.18250115199999</v>
      </c>
      <c r="AT150" s="85">
        <v>345.18600362000001</v>
      </c>
      <c r="AU150" s="85">
        <v>3292100</v>
      </c>
      <c r="AV150" s="85">
        <v>2540817</v>
      </c>
      <c r="AW150" s="85">
        <v>4.13</v>
      </c>
      <c r="AX150" s="85">
        <v>7.8339999999999996</v>
      </c>
      <c r="AY150" s="85">
        <v>16.364699999999999</v>
      </c>
      <c r="AZ150" s="85" t="b">
        <v>1</v>
      </c>
    </row>
    <row r="151" spans="1:52" x14ac:dyDescent="0.25">
      <c r="A151" s="38">
        <v>150</v>
      </c>
      <c r="B151" s="85" t="s">
        <v>1201</v>
      </c>
      <c r="C151" s="85" t="s">
        <v>43</v>
      </c>
      <c r="D151" s="85" t="s">
        <v>262</v>
      </c>
      <c r="E151" s="82">
        <v>346.19330000000002</v>
      </c>
      <c r="F151" s="86" t="s">
        <v>1202</v>
      </c>
      <c r="G151" s="87" t="s">
        <v>269</v>
      </c>
      <c r="H151" s="85" t="s">
        <v>555</v>
      </c>
      <c r="I151" s="85" t="s">
        <v>1203</v>
      </c>
      <c r="J151" s="85" t="s">
        <v>1204</v>
      </c>
      <c r="K151" s="85" t="s">
        <v>139</v>
      </c>
      <c r="L151" s="84">
        <v>211.1128387</v>
      </c>
      <c r="M151" s="84">
        <v>93.034588360000001</v>
      </c>
      <c r="N151" s="84">
        <v>329.15470349999998</v>
      </c>
      <c r="O151" s="50">
        <v>6.12</v>
      </c>
      <c r="P151" s="50">
        <v>6.25</v>
      </c>
      <c r="AJ151" s="83"/>
      <c r="AP151" s="85">
        <v>346.19328007199999</v>
      </c>
      <c r="AQ151" s="85">
        <v>347.20055652399998</v>
      </c>
      <c r="AR151" s="85">
        <v>364.22710562999998</v>
      </c>
      <c r="AS151" s="85">
        <v>369.18250115199999</v>
      </c>
      <c r="AT151" s="85">
        <v>345.18600362000001</v>
      </c>
      <c r="AU151" s="85">
        <v>630355</v>
      </c>
      <c r="AV151" s="85">
        <v>547401</v>
      </c>
      <c r="AW151" s="85">
        <v>4.13</v>
      </c>
      <c r="AX151" s="85">
        <v>7.8339999999999996</v>
      </c>
      <c r="AY151" s="85">
        <v>16.364699999999999</v>
      </c>
      <c r="AZ151" s="85" t="b">
        <v>1</v>
      </c>
    </row>
    <row r="152" spans="1:52" x14ac:dyDescent="0.25">
      <c r="A152" s="38">
        <v>151</v>
      </c>
      <c r="B152" s="85" t="s">
        <v>1205</v>
      </c>
      <c r="C152" s="85" t="s">
        <v>44</v>
      </c>
      <c r="D152" s="85" t="s">
        <v>263</v>
      </c>
      <c r="E152" s="82">
        <v>250.03</v>
      </c>
      <c r="F152" s="86" t="s">
        <v>1206</v>
      </c>
      <c r="G152" s="87" t="s">
        <v>269</v>
      </c>
      <c r="H152" s="85" t="s">
        <v>556</v>
      </c>
      <c r="I152" s="85" t="s">
        <v>1207</v>
      </c>
      <c r="J152" s="85" t="s">
        <v>1208</v>
      </c>
      <c r="K152" s="85" t="s">
        <v>139</v>
      </c>
      <c r="L152" s="82">
        <v>185.0608</v>
      </c>
      <c r="M152" s="82">
        <v>108.0217</v>
      </c>
      <c r="N152" s="82">
        <v>155.98859999999999</v>
      </c>
      <c r="O152" s="50">
        <v>1.83</v>
      </c>
      <c r="P152" s="50">
        <v>1.65</v>
      </c>
      <c r="AP152" s="85">
        <v>250.02997952999999</v>
      </c>
      <c r="AQ152" s="85">
        <v>251.037255982</v>
      </c>
      <c r="AR152" s="85">
        <v>268.06380508799998</v>
      </c>
      <c r="AS152" s="85">
        <v>273.01920060999998</v>
      </c>
      <c r="AT152" s="85">
        <v>249.02270307800001</v>
      </c>
      <c r="AU152" s="85">
        <v>6626</v>
      </c>
      <c r="AV152" s="85">
        <v>6374</v>
      </c>
      <c r="AW152" s="85">
        <v>0.36180000000000001</v>
      </c>
      <c r="AX152" s="85">
        <v>2.1840000000000002</v>
      </c>
      <c r="AY152" s="85">
        <v>7.1974999999999998</v>
      </c>
      <c r="AZ152" s="85" t="b">
        <v>1</v>
      </c>
    </row>
    <row r="153" spans="1:52" x14ac:dyDescent="0.25">
      <c r="A153" s="38">
        <v>152</v>
      </c>
      <c r="B153" s="85" t="s">
        <v>1209</v>
      </c>
      <c r="C153" s="85" t="s">
        <v>45</v>
      </c>
      <c r="D153" s="85" t="s">
        <v>264</v>
      </c>
      <c r="E153" s="82">
        <v>310.19330000000002</v>
      </c>
      <c r="F153" s="86" t="s">
        <v>1210</v>
      </c>
      <c r="G153" s="87" t="s">
        <v>269</v>
      </c>
      <c r="H153" s="85" t="s">
        <v>557</v>
      </c>
      <c r="I153" s="85" t="s">
        <v>1211</v>
      </c>
      <c r="J153" s="85" t="s">
        <v>1212</v>
      </c>
      <c r="K153" s="85" t="s">
        <v>139</v>
      </c>
      <c r="L153" s="84">
        <v>93.034599999999998</v>
      </c>
      <c r="M153" s="84">
        <v>293.15470349999998</v>
      </c>
      <c r="N153" s="84">
        <v>213.12848869999999</v>
      </c>
      <c r="O153" s="50">
        <v>6.06</v>
      </c>
      <c r="P153" s="50">
        <v>6.29</v>
      </c>
      <c r="AP153" s="85">
        <v>310.19328007199999</v>
      </c>
      <c r="AQ153" s="85">
        <v>311.20055652399998</v>
      </c>
      <c r="AR153" s="85">
        <v>328.22710562999998</v>
      </c>
      <c r="AS153" s="85">
        <v>333.18250115199999</v>
      </c>
      <c r="AT153" s="85">
        <v>309.18600362000001</v>
      </c>
      <c r="AU153" s="85">
        <v>4134035</v>
      </c>
      <c r="AV153" s="85">
        <v>3346809</v>
      </c>
      <c r="AW153" s="85">
        <v>3.0657999999999999</v>
      </c>
      <c r="AX153" s="85">
        <v>7.5110000000000001</v>
      </c>
      <c r="AY153" s="85">
        <v>15.8406</v>
      </c>
      <c r="AZ153" s="85" t="b">
        <v>1</v>
      </c>
    </row>
    <row r="154" spans="1:52" x14ac:dyDescent="0.25">
      <c r="A154" s="38">
        <v>153</v>
      </c>
      <c r="B154" s="85" t="s">
        <v>1213</v>
      </c>
      <c r="C154" s="85" t="s">
        <v>46</v>
      </c>
      <c r="D154" s="85" t="s">
        <v>265</v>
      </c>
      <c r="E154" s="82">
        <v>268.1463</v>
      </c>
      <c r="F154" s="86" t="s">
        <v>1214</v>
      </c>
      <c r="G154" s="87" t="s">
        <v>269</v>
      </c>
      <c r="H154" s="85" t="s">
        <v>558</v>
      </c>
      <c r="I154" s="85" t="s">
        <v>1215</v>
      </c>
      <c r="J154" s="85" t="s">
        <v>1216</v>
      </c>
      <c r="K154" s="85" t="s">
        <v>139</v>
      </c>
      <c r="L154" s="84">
        <v>93.034588360000001</v>
      </c>
      <c r="M154" s="84">
        <v>239.14413880000001</v>
      </c>
      <c r="N154" s="84">
        <v>251.10775330000001</v>
      </c>
      <c r="O154" s="50">
        <v>4.53</v>
      </c>
      <c r="P154" s="50">
        <v>5</v>
      </c>
      <c r="AP154" s="85">
        <v>268.14632988</v>
      </c>
      <c r="AQ154" s="85">
        <v>269.15360633199998</v>
      </c>
      <c r="AR154" s="85">
        <v>286.18015543799999</v>
      </c>
      <c r="AS154" s="85">
        <v>291.13555095999999</v>
      </c>
      <c r="AT154" s="85">
        <v>267.13905342800001</v>
      </c>
      <c r="AU154" s="85">
        <v>232446</v>
      </c>
      <c r="AV154" s="85">
        <v>202599</v>
      </c>
      <c r="AW154" s="85">
        <v>0.1804</v>
      </c>
      <c r="AX154" s="85">
        <v>5.8890000000000002</v>
      </c>
      <c r="AY154" s="85">
        <v>13.2089</v>
      </c>
      <c r="AZ154" s="85" t="b">
        <v>1</v>
      </c>
    </row>
    <row r="155" spans="1:52" x14ac:dyDescent="0.25">
      <c r="A155" s="38">
        <v>154</v>
      </c>
      <c r="B155" s="85" t="s">
        <v>1217</v>
      </c>
      <c r="C155" s="85" t="s">
        <v>47</v>
      </c>
      <c r="D155" s="85" t="s">
        <v>266</v>
      </c>
      <c r="E155" s="82">
        <v>539.75710000000004</v>
      </c>
      <c r="F155" s="86" t="s">
        <v>1218</v>
      </c>
      <c r="G155" s="86" t="s">
        <v>1219</v>
      </c>
      <c r="H155" s="85" t="s">
        <v>559</v>
      </c>
      <c r="I155" s="85" t="s">
        <v>1220</v>
      </c>
      <c r="J155" s="85" t="s">
        <v>1221</v>
      </c>
      <c r="K155" s="85" t="s">
        <v>139</v>
      </c>
      <c r="L155" s="82">
        <v>79.981890000000007</v>
      </c>
      <c r="M155" s="82">
        <v>80.916799999999995</v>
      </c>
      <c r="N155" s="82">
        <v>288.88690000000003</v>
      </c>
      <c r="O155" s="50">
        <v>7.29</v>
      </c>
      <c r="P155" s="50">
        <v>7.2</v>
      </c>
      <c r="AP155" s="85">
        <v>539.75708122399999</v>
      </c>
      <c r="AQ155" s="85">
        <v>540.76435767600003</v>
      </c>
      <c r="AR155" s="85">
        <v>557.79090678199998</v>
      </c>
      <c r="AS155" s="85">
        <v>562.74630230399998</v>
      </c>
      <c r="AT155" s="85">
        <v>538.74980477199995</v>
      </c>
      <c r="AU155" s="85">
        <v>6618</v>
      </c>
      <c r="AV155" s="85">
        <v>6366</v>
      </c>
      <c r="AW155" s="85">
        <v>4.0144000000000002</v>
      </c>
      <c r="AX155" s="85">
        <v>7.7140000000000004</v>
      </c>
      <c r="AY155" s="85">
        <v>16.170000000000002</v>
      </c>
      <c r="AZ155" s="85" t="b">
        <v>1</v>
      </c>
    </row>
    <row r="156" spans="1:52" x14ac:dyDescent="0.25">
      <c r="A156" s="38">
        <v>155</v>
      </c>
      <c r="B156" s="85" t="s">
        <v>48</v>
      </c>
      <c r="C156" s="85" t="s">
        <v>48</v>
      </c>
      <c r="D156" s="85" t="s">
        <v>267</v>
      </c>
      <c r="E156" s="82">
        <v>162.9939</v>
      </c>
      <c r="F156" s="86" t="s">
        <v>1222</v>
      </c>
      <c r="G156" s="87" t="s">
        <v>269</v>
      </c>
      <c r="H156" s="85" t="s">
        <v>560</v>
      </c>
      <c r="I156" s="85" t="s">
        <v>1223</v>
      </c>
      <c r="J156" s="85" t="s">
        <v>1224</v>
      </c>
      <c r="K156" s="85" t="s">
        <v>139</v>
      </c>
      <c r="L156" s="82">
        <v>82.029799999999994</v>
      </c>
      <c r="M156" s="82">
        <v>77.965500000000006</v>
      </c>
      <c r="N156" s="82">
        <v>98.024699999999996</v>
      </c>
      <c r="O156" s="50">
        <v>-0.31</v>
      </c>
      <c r="P156" s="50">
        <v>-1.33</v>
      </c>
      <c r="AJ156" s="85">
        <v>75</v>
      </c>
      <c r="AK156" s="85" t="s">
        <v>892</v>
      </c>
      <c r="AL156" s="85">
        <v>1.5</v>
      </c>
      <c r="AM156" s="85" t="s">
        <v>921</v>
      </c>
      <c r="AN156" s="85" t="s">
        <v>922</v>
      </c>
      <c r="AO156" s="85" t="s">
        <v>923</v>
      </c>
      <c r="AP156" s="85">
        <v>162.99392838</v>
      </c>
      <c r="AQ156" s="85">
        <v>164.00120483200001</v>
      </c>
      <c r="AR156" s="85">
        <v>181.02775393799999</v>
      </c>
      <c r="AS156" s="85">
        <v>185.98314945999999</v>
      </c>
      <c r="AT156" s="85">
        <v>161.98665192799999</v>
      </c>
      <c r="AU156" s="85">
        <v>36573</v>
      </c>
      <c r="AV156" s="85">
        <v>33607</v>
      </c>
      <c r="AW156" s="85">
        <v>-0.67379999999999995</v>
      </c>
      <c r="AX156" s="85">
        <v>-1.514</v>
      </c>
      <c r="AY156" s="85">
        <v>1.1975</v>
      </c>
      <c r="AZ156" s="85" t="b">
        <v>0</v>
      </c>
    </row>
    <row r="157" spans="1:52" x14ac:dyDescent="0.25">
      <c r="A157" s="38">
        <v>156</v>
      </c>
      <c r="B157" s="85" t="s">
        <v>50</v>
      </c>
      <c r="C157" s="85" t="s">
        <v>50</v>
      </c>
      <c r="D157" s="85" t="s">
        <v>268</v>
      </c>
      <c r="E157" s="82">
        <v>396.01459999999997</v>
      </c>
      <c r="F157" s="86" t="s">
        <v>1225</v>
      </c>
      <c r="G157" s="87" t="s">
        <v>269</v>
      </c>
      <c r="H157" s="85" t="s">
        <v>561</v>
      </c>
      <c r="I157" s="85" t="s">
        <v>1226</v>
      </c>
      <c r="J157" s="85" t="s">
        <v>1227</v>
      </c>
      <c r="K157" s="85" t="s">
        <v>139</v>
      </c>
      <c r="L157" s="82">
        <v>359.03</v>
      </c>
      <c r="M157" s="83" t="s">
        <v>564</v>
      </c>
      <c r="N157" s="83" t="s">
        <v>564</v>
      </c>
      <c r="O157" s="50">
        <v>0.68</v>
      </c>
      <c r="P157" s="50">
        <v>-1</v>
      </c>
      <c r="AJ157" s="85">
        <v>35</v>
      </c>
      <c r="AK157" s="85" t="s">
        <v>721</v>
      </c>
      <c r="AL157" s="85">
        <v>4.4000000000000004</v>
      </c>
      <c r="AM157" s="85" t="s">
        <v>921</v>
      </c>
      <c r="AN157" s="85" t="s">
        <v>922</v>
      </c>
      <c r="AO157" s="85" t="s">
        <v>923</v>
      </c>
      <c r="AP157" s="85">
        <v>396.01455069799999</v>
      </c>
      <c r="AQ157" s="85">
        <v>397.02182714999998</v>
      </c>
      <c r="AR157" s="85">
        <v>414.04837625599998</v>
      </c>
      <c r="AS157" s="85">
        <v>419.00377177799999</v>
      </c>
      <c r="AT157" s="85">
        <v>395.00727424600001</v>
      </c>
      <c r="AU157" s="85">
        <v>71485</v>
      </c>
      <c r="AV157" s="85">
        <v>64561</v>
      </c>
      <c r="AW157" s="85">
        <v>-0.69669999999999999</v>
      </c>
      <c r="AX157" s="85">
        <v>-0.73399999999999999</v>
      </c>
      <c r="AY157" s="85">
        <v>2.4630999999999998</v>
      </c>
      <c r="AZ157" s="85" t="b">
        <v>0</v>
      </c>
    </row>
    <row r="159" spans="1:52" x14ac:dyDescent="0.25">
      <c r="A159" s="89" t="s">
        <v>1233</v>
      </c>
    </row>
    <row r="160" spans="1:52" x14ac:dyDescent="0.25">
      <c r="A160" s="90" t="s">
        <v>1228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61"/>
  <sheetViews>
    <sheetView zoomScaleNormal="100" zoomScalePageLayoutView="85" workbookViewId="0">
      <pane xSplit="1" ySplit="3" topLeftCell="F4" activePane="bottomRight" state="frozen"/>
      <selection pane="topRight" activeCell="E1" sqref="E1"/>
      <selection pane="bottomLeft" activeCell="A4" sqref="A4"/>
      <selection pane="bottomRight" activeCell="F35" sqref="A2:BD159"/>
    </sheetView>
  </sheetViews>
  <sheetFormatPr baseColWidth="10" defaultColWidth="9.140625" defaultRowHeight="15" x14ac:dyDescent="0.25"/>
  <cols>
    <col min="1" max="1" width="42" style="38" bestFit="1" customWidth="1"/>
    <col min="2" max="2" width="9.85546875" style="38" hidden="1" customWidth="1"/>
    <col min="3" max="3" width="14.140625" style="38" hidden="1" customWidth="1"/>
    <col min="4" max="4" width="14.140625" style="48" hidden="1" customWidth="1"/>
    <col min="5" max="5" width="23.42578125" style="92" hidden="1" customWidth="1"/>
    <col min="6" max="6" width="26.7109375" style="12" customWidth="1"/>
    <col min="7" max="7" width="28.140625" style="12" customWidth="1"/>
    <col min="8" max="8" width="25.140625" style="12" customWidth="1"/>
    <col min="9" max="10" width="25.140625" style="10" customWidth="1"/>
    <col min="11" max="11" width="25.140625" style="114" customWidth="1"/>
    <col min="12" max="12" width="40.42578125" style="4" customWidth="1"/>
    <col min="13" max="20" width="41.85546875" style="4" customWidth="1"/>
    <col min="21" max="21" width="42.85546875" style="4" customWidth="1"/>
    <col min="22" max="22" width="42.42578125" style="4" customWidth="1"/>
    <col min="23" max="25" width="25.140625" style="14" customWidth="1"/>
    <col min="26" max="26" width="25.140625" style="39" customWidth="1"/>
    <col min="27" max="27" width="45.7109375" style="7" customWidth="1"/>
    <col min="28" max="28" width="43" style="7" customWidth="1"/>
    <col min="29" max="29" width="35.7109375" style="9" customWidth="1"/>
    <col min="30" max="30" width="43.42578125" style="9" customWidth="1"/>
    <col min="31" max="31" width="25.140625" style="3" customWidth="1"/>
    <col min="32" max="32" width="28.42578125" style="3" customWidth="1"/>
    <col min="33" max="33" width="25.140625" style="3" customWidth="1"/>
    <col min="34" max="34" width="42.28515625" style="3" customWidth="1"/>
    <col min="35" max="35" width="25.140625" style="1" customWidth="1"/>
    <col min="36" max="36" width="38.5703125" style="1" customWidth="1"/>
    <col min="37" max="37" width="39.5703125" style="1" customWidth="1"/>
    <col min="38" max="38" width="28.42578125" style="1" customWidth="1"/>
    <col min="39" max="39" width="25.140625" style="1" customWidth="1"/>
    <col min="40" max="40" width="20.140625" style="64" customWidth="1"/>
    <col min="41" max="41" width="23" style="64" customWidth="1"/>
    <col min="42" max="42" width="23.28515625" style="64" customWidth="1"/>
    <col min="43" max="43" width="24.42578125" style="64" customWidth="1"/>
    <col min="44" max="44" width="21.42578125" style="64" customWidth="1"/>
    <col min="45" max="45" width="25.140625" style="42" customWidth="1"/>
    <col min="46" max="46" width="27.7109375" style="42" customWidth="1"/>
    <col min="47" max="47" width="25.140625" style="42" customWidth="1"/>
    <col min="48" max="48" width="26.140625" style="42" customWidth="1"/>
    <col min="49" max="50" width="23" style="53" customWidth="1"/>
    <col min="51" max="51" width="29.42578125" style="57" customWidth="1"/>
    <col min="52" max="52" width="29.5703125" style="57" customWidth="1"/>
    <col min="53" max="53" width="23" style="121" customWidth="1"/>
    <col min="54" max="54" width="27.42578125" style="4" hidden="1" customWidth="1"/>
    <col min="55" max="55" width="51.7109375" style="38" hidden="1" customWidth="1"/>
    <col min="56" max="56" width="31.7109375" style="3" hidden="1" customWidth="1"/>
    <col min="57" max="16384" width="9.140625" style="38"/>
  </cols>
  <sheetData>
    <row r="1" spans="1:56" ht="30" x14ac:dyDescent="0.25">
      <c r="A1" s="31" t="s">
        <v>125</v>
      </c>
      <c r="B1" s="31" t="s">
        <v>299</v>
      </c>
      <c r="C1" s="31" t="s">
        <v>143</v>
      </c>
      <c r="D1" s="95" t="s">
        <v>274</v>
      </c>
      <c r="E1" s="91" t="s">
        <v>1235</v>
      </c>
      <c r="F1" s="47" t="s">
        <v>277</v>
      </c>
      <c r="G1" s="47" t="s">
        <v>645</v>
      </c>
      <c r="H1" s="47" t="s">
        <v>278</v>
      </c>
      <c r="I1" s="44" t="s">
        <v>280</v>
      </c>
      <c r="J1" s="44" t="s">
        <v>281</v>
      </c>
      <c r="K1" s="112" t="s">
        <v>282</v>
      </c>
      <c r="L1" s="32" t="s">
        <v>283</v>
      </c>
      <c r="M1" s="32" t="s">
        <v>1258</v>
      </c>
      <c r="N1" s="32" t="s">
        <v>1248</v>
      </c>
      <c r="O1" s="32" t="s">
        <v>1249</v>
      </c>
      <c r="P1" s="32" t="s">
        <v>1250</v>
      </c>
      <c r="Q1" s="32" t="s">
        <v>1251</v>
      </c>
      <c r="R1" s="32" t="s">
        <v>1252</v>
      </c>
      <c r="S1" s="32" t="s">
        <v>1253</v>
      </c>
      <c r="T1" s="32" t="s">
        <v>1254</v>
      </c>
      <c r="U1" s="32" t="s">
        <v>1255</v>
      </c>
      <c r="V1" s="32" t="s">
        <v>1256</v>
      </c>
      <c r="W1" s="43" t="s">
        <v>290</v>
      </c>
      <c r="X1" s="43" t="s">
        <v>291</v>
      </c>
      <c r="Y1" s="43" t="s">
        <v>292</v>
      </c>
      <c r="Z1" s="34" t="s">
        <v>284</v>
      </c>
      <c r="AA1" s="33" t="s">
        <v>286</v>
      </c>
      <c r="AB1" s="33" t="s">
        <v>287</v>
      </c>
      <c r="AC1" s="35" t="s">
        <v>288</v>
      </c>
      <c r="AD1" s="35" t="s">
        <v>289</v>
      </c>
      <c r="AE1" s="36" t="s">
        <v>126</v>
      </c>
      <c r="AF1" s="36" t="s">
        <v>130</v>
      </c>
      <c r="AG1" s="36" t="s">
        <v>127</v>
      </c>
      <c r="AH1" s="36" t="s">
        <v>128</v>
      </c>
      <c r="AI1" s="37" t="s">
        <v>133</v>
      </c>
      <c r="AJ1" s="37" t="s">
        <v>134</v>
      </c>
      <c r="AK1" s="37" t="s">
        <v>135</v>
      </c>
      <c r="AL1" s="37" t="s">
        <v>132</v>
      </c>
      <c r="AM1" s="37" t="s">
        <v>279</v>
      </c>
      <c r="AN1" s="64" t="s">
        <v>606</v>
      </c>
      <c r="AO1" s="64" t="s">
        <v>605</v>
      </c>
      <c r="AP1" s="64" t="s">
        <v>604</v>
      </c>
      <c r="AQ1" s="64" t="s">
        <v>603</v>
      </c>
      <c r="AR1" s="64" t="s">
        <v>602</v>
      </c>
      <c r="AS1" s="41" t="s">
        <v>297</v>
      </c>
      <c r="AT1" s="41" t="s">
        <v>295</v>
      </c>
      <c r="AU1" s="41" t="s">
        <v>298</v>
      </c>
      <c r="AV1" s="41" t="s">
        <v>296</v>
      </c>
      <c r="AW1" s="51" t="s">
        <v>567</v>
      </c>
      <c r="AX1" s="51" t="s">
        <v>568</v>
      </c>
      <c r="AY1" s="55" t="s">
        <v>569</v>
      </c>
      <c r="AZ1" s="55" t="s">
        <v>570</v>
      </c>
      <c r="BA1" s="124" t="s">
        <v>571</v>
      </c>
      <c r="BB1" s="4" t="s">
        <v>271</v>
      </c>
      <c r="BC1" s="38" t="s">
        <v>136</v>
      </c>
      <c r="BD1" s="3" t="s">
        <v>129</v>
      </c>
    </row>
    <row r="2" spans="1:56" ht="30" hidden="1" x14ac:dyDescent="0.25">
      <c r="A2" s="31" t="s">
        <v>269</v>
      </c>
      <c r="B2" s="31" t="s">
        <v>269</v>
      </c>
      <c r="C2" s="31" t="s">
        <v>269</v>
      </c>
      <c r="D2" s="95" t="s">
        <v>269</v>
      </c>
      <c r="E2" s="95" t="s">
        <v>269</v>
      </c>
      <c r="F2" s="47" t="s">
        <v>427</v>
      </c>
      <c r="G2" s="47" t="s">
        <v>427</v>
      </c>
      <c r="H2" s="47" t="s">
        <v>427</v>
      </c>
      <c r="I2" s="45" t="s">
        <v>425</v>
      </c>
      <c r="J2" s="45" t="s">
        <v>425</v>
      </c>
      <c r="K2" s="113" t="s">
        <v>426</v>
      </c>
      <c r="L2" s="32" t="s">
        <v>270</v>
      </c>
      <c r="M2" s="32" t="s">
        <v>270</v>
      </c>
      <c r="N2" s="32" t="s">
        <v>270</v>
      </c>
      <c r="O2" s="32" t="s">
        <v>270</v>
      </c>
      <c r="P2" s="32" t="s">
        <v>270</v>
      </c>
      <c r="Q2" s="32" t="s">
        <v>270</v>
      </c>
      <c r="R2" s="32" t="s">
        <v>270</v>
      </c>
      <c r="S2" s="32" t="s">
        <v>270</v>
      </c>
      <c r="T2" s="32" t="s">
        <v>270</v>
      </c>
      <c r="U2" s="32" t="s">
        <v>270</v>
      </c>
      <c r="V2" s="32" t="s">
        <v>270</v>
      </c>
      <c r="W2" s="43" t="s">
        <v>285</v>
      </c>
      <c r="X2" s="43" t="s">
        <v>285</v>
      </c>
      <c r="Y2" s="43" t="s">
        <v>285</v>
      </c>
      <c r="Z2" s="34" t="s">
        <v>270</v>
      </c>
      <c r="AA2" s="33" t="s">
        <v>285</v>
      </c>
      <c r="AB2" s="33" t="s">
        <v>285</v>
      </c>
      <c r="AC2" s="35" t="s">
        <v>285</v>
      </c>
      <c r="AD2" s="35" t="s">
        <v>285</v>
      </c>
      <c r="AE2" s="36" t="s">
        <v>428</v>
      </c>
      <c r="AF2" s="36" t="s">
        <v>428</v>
      </c>
      <c r="AG2" s="36" t="s">
        <v>428</v>
      </c>
      <c r="AH2" s="36" t="s">
        <v>428</v>
      </c>
      <c r="AI2" s="37" t="s">
        <v>141</v>
      </c>
      <c r="AJ2" s="37" t="s">
        <v>141</v>
      </c>
      <c r="AK2" s="37" t="s">
        <v>141</v>
      </c>
      <c r="AL2" s="37" t="s">
        <v>141</v>
      </c>
      <c r="AM2" s="37" t="s">
        <v>141</v>
      </c>
      <c r="AN2" s="64" t="s">
        <v>601</v>
      </c>
      <c r="AO2" s="64" t="s">
        <v>601</v>
      </c>
      <c r="AP2" s="64" t="s">
        <v>601</v>
      </c>
      <c r="AQ2" s="64" t="s">
        <v>601</v>
      </c>
      <c r="AR2" s="64" t="s">
        <v>601</v>
      </c>
      <c r="AS2" s="41" t="s">
        <v>429</v>
      </c>
      <c r="AT2" s="41" t="s">
        <v>429</v>
      </c>
      <c r="AU2" s="41" t="s">
        <v>429</v>
      </c>
      <c r="AV2" s="41" t="s">
        <v>429</v>
      </c>
      <c r="AW2" s="52" t="s">
        <v>572</v>
      </c>
      <c r="AX2" s="52" t="s">
        <v>572</v>
      </c>
      <c r="AY2" s="56" t="s">
        <v>572</v>
      </c>
      <c r="AZ2" s="56" t="s">
        <v>572</v>
      </c>
      <c r="BA2" s="125" t="s">
        <v>572</v>
      </c>
      <c r="BB2" s="4" t="s">
        <v>270</v>
      </c>
      <c r="BC2" s="38" t="s">
        <v>142</v>
      </c>
      <c r="BD2" s="3" t="s">
        <v>140</v>
      </c>
    </row>
    <row r="3" spans="1:56" ht="105" hidden="1" x14ac:dyDescent="0.25">
      <c r="A3" s="31" t="s">
        <v>269</v>
      </c>
      <c r="B3" s="31" t="s">
        <v>269</v>
      </c>
      <c r="C3" s="31" t="s">
        <v>269</v>
      </c>
      <c r="D3" s="95" t="s">
        <v>269</v>
      </c>
      <c r="E3" s="95" t="s">
        <v>269</v>
      </c>
      <c r="F3" s="47" t="s">
        <v>417</v>
      </c>
      <c r="G3" s="47" t="s">
        <v>418</v>
      </c>
      <c r="H3" s="47" t="s">
        <v>419</v>
      </c>
      <c r="I3" s="45" t="s">
        <v>420</v>
      </c>
      <c r="J3" s="45" t="s">
        <v>421</v>
      </c>
      <c r="K3" s="113" t="s">
        <v>422</v>
      </c>
      <c r="L3" s="32" t="s">
        <v>389</v>
      </c>
      <c r="M3" s="32" t="s">
        <v>390</v>
      </c>
      <c r="N3" s="32" t="s">
        <v>391</v>
      </c>
      <c r="O3" s="32" t="s">
        <v>392</v>
      </c>
      <c r="P3" s="32" t="s">
        <v>393</v>
      </c>
      <c r="Q3" s="32" t="s">
        <v>394</v>
      </c>
      <c r="R3" s="32" t="s">
        <v>395</v>
      </c>
      <c r="S3" s="32" t="s">
        <v>396</v>
      </c>
      <c r="T3" s="32" t="s">
        <v>397</v>
      </c>
      <c r="U3" s="32" t="s">
        <v>398</v>
      </c>
      <c r="V3" s="32" t="s">
        <v>399</v>
      </c>
      <c r="W3" s="43" t="s">
        <v>406</v>
      </c>
      <c r="X3" s="43" t="s">
        <v>407</v>
      </c>
      <c r="Y3" s="43" t="s">
        <v>405</v>
      </c>
      <c r="Z3" s="34" t="s">
        <v>400</v>
      </c>
      <c r="AA3" s="33" t="s">
        <v>401</v>
      </c>
      <c r="AB3" s="33" t="s">
        <v>402</v>
      </c>
      <c r="AC3" s="35" t="s">
        <v>404</v>
      </c>
      <c r="AD3" s="35" t="s">
        <v>403</v>
      </c>
      <c r="AE3" s="36" t="s">
        <v>408</v>
      </c>
      <c r="AF3" s="36" t="s">
        <v>409</v>
      </c>
      <c r="AG3" s="36" t="s">
        <v>411</v>
      </c>
      <c r="AH3" s="36" t="s">
        <v>410</v>
      </c>
      <c r="AI3" s="37" t="s">
        <v>415</v>
      </c>
      <c r="AJ3" s="37" t="s">
        <v>413</v>
      </c>
      <c r="AK3" s="37" t="s">
        <v>414</v>
      </c>
      <c r="AL3" s="37" t="s">
        <v>412</v>
      </c>
      <c r="AM3" s="37" t="s">
        <v>416</v>
      </c>
      <c r="AN3" s="64" t="s">
        <v>611</v>
      </c>
      <c r="AO3" s="64" t="s">
        <v>608</v>
      </c>
      <c r="AP3" s="64" t="s">
        <v>610</v>
      </c>
      <c r="AQ3" s="64" t="s">
        <v>607</v>
      </c>
      <c r="AR3" s="64" t="s">
        <v>609</v>
      </c>
      <c r="AS3" s="41" t="s">
        <v>431</v>
      </c>
      <c r="AT3" s="41" t="s">
        <v>423</v>
      </c>
      <c r="AU3" s="41" t="s">
        <v>432</v>
      </c>
      <c r="AV3" s="41" t="s">
        <v>424</v>
      </c>
      <c r="AW3" s="52" t="s">
        <v>573</v>
      </c>
      <c r="AX3" s="52" t="s">
        <v>574</v>
      </c>
      <c r="AY3" s="56" t="s">
        <v>575</v>
      </c>
      <c r="AZ3" s="56" t="s">
        <v>576</v>
      </c>
      <c r="BA3" s="125" t="s">
        <v>577</v>
      </c>
      <c r="BB3" s="32"/>
      <c r="BC3" s="31"/>
      <c r="BD3" s="36"/>
    </row>
    <row r="4" spans="1:56" ht="15" customHeight="1" x14ac:dyDescent="0.25">
      <c r="A4" s="38" t="s">
        <v>56</v>
      </c>
      <c r="B4" s="38" t="s">
        <v>138</v>
      </c>
      <c r="C4" s="38" t="s">
        <v>144</v>
      </c>
      <c r="D4" s="48">
        <v>275.25807099999997</v>
      </c>
      <c r="E4" s="92">
        <f>COUNTIF(L4:BA4,"&gt;1")/48*100</f>
        <v>56.25</v>
      </c>
      <c r="F4" s="12" t="s">
        <v>3</v>
      </c>
      <c r="G4" s="12" t="s">
        <v>3</v>
      </c>
      <c r="H4" s="12" t="s">
        <v>3</v>
      </c>
      <c r="I4" s="127">
        <v>87279</v>
      </c>
      <c r="J4" s="10">
        <v>103481</v>
      </c>
      <c r="K4" s="114" t="s">
        <v>3</v>
      </c>
      <c r="L4" s="4">
        <v>17675</v>
      </c>
      <c r="M4" s="5">
        <v>107874</v>
      </c>
      <c r="N4" s="5">
        <v>21414</v>
      </c>
      <c r="O4" s="5">
        <v>20382</v>
      </c>
      <c r="P4" s="5">
        <v>15593</v>
      </c>
      <c r="Q4" s="4">
        <v>43328</v>
      </c>
      <c r="R4" s="4">
        <v>56716</v>
      </c>
      <c r="S4" s="5" t="s">
        <v>3</v>
      </c>
      <c r="T4" s="5">
        <v>752523</v>
      </c>
      <c r="U4" s="5" t="s">
        <v>3</v>
      </c>
      <c r="V4" s="5" t="s">
        <v>3</v>
      </c>
      <c r="W4" s="14">
        <v>3132874</v>
      </c>
      <c r="X4" s="14">
        <v>5663111</v>
      </c>
      <c r="Y4" s="14">
        <v>1281884</v>
      </c>
      <c r="Z4" s="39">
        <v>19341550</v>
      </c>
      <c r="AA4" s="7" t="s">
        <v>3</v>
      </c>
      <c r="AB4" s="7" t="s">
        <v>3</v>
      </c>
      <c r="AC4" s="9">
        <v>3053722</v>
      </c>
      <c r="AD4" s="9">
        <v>978422</v>
      </c>
      <c r="AE4" s="3">
        <v>31620</v>
      </c>
      <c r="AF4" s="3">
        <v>38352</v>
      </c>
      <c r="AG4" s="3">
        <v>27400</v>
      </c>
      <c r="AH4" s="3">
        <v>40516</v>
      </c>
      <c r="AI4" s="1">
        <v>32203</v>
      </c>
      <c r="AJ4" s="1">
        <v>4918</v>
      </c>
      <c r="AK4" s="1">
        <v>48463</v>
      </c>
      <c r="AL4" s="1">
        <v>139122</v>
      </c>
      <c r="AM4" s="1">
        <v>42296</v>
      </c>
      <c r="AN4" s="64" t="s">
        <v>3</v>
      </c>
      <c r="AO4" s="64" t="s">
        <v>3</v>
      </c>
      <c r="AP4" s="64" t="s">
        <v>3</v>
      </c>
      <c r="AQ4" s="64" t="s">
        <v>3</v>
      </c>
      <c r="AR4" s="64" t="s">
        <v>3</v>
      </c>
      <c r="AS4" s="42">
        <v>6784</v>
      </c>
      <c r="AT4" s="42">
        <v>3132</v>
      </c>
      <c r="AU4" s="42">
        <f>1389</f>
        <v>1389</v>
      </c>
      <c r="AV4" s="42">
        <v>2678</v>
      </c>
      <c r="AW4" s="53" t="s">
        <v>3</v>
      </c>
      <c r="AX4" s="53" t="s">
        <v>3</v>
      </c>
      <c r="AY4" s="57" t="s">
        <v>3</v>
      </c>
      <c r="AZ4" s="57" t="s">
        <v>3</v>
      </c>
      <c r="BA4" s="121" t="s">
        <v>3</v>
      </c>
      <c r="BB4" s="4" t="s">
        <v>3</v>
      </c>
      <c r="BC4" s="38" t="s">
        <v>3</v>
      </c>
      <c r="BD4" s="3">
        <v>30296</v>
      </c>
    </row>
    <row r="5" spans="1:56" ht="15" customHeight="1" x14ac:dyDescent="0.25">
      <c r="A5" s="38" t="s">
        <v>57</v>
      </c>
      <c r="B5" s="38" t="s">
        <v>138</v>
      </c>
      <c r="C5" s="38" t="s">
        <v>145</v>
      </c>
      <c r="D5" s="48">
        <v>336.310835</v>
      </c>
      <c r="E5" s="92">
        <f t="shared" ref="E5:E68" si="0">COUNTIF(L5:BA5,"&gt;1")/48*100</f>
        <v>60.416666666666664</v>
      </c>
      <c r="F5" s="12" t="s">
        <v>3</v>
      </c>
      <c r="G5" s="12" t="s">
        <v>3</v>
      </c>
      <c r="H5" s="12" t="s">
        <v>3</v>
      </c>
      <c r="I5" s="127">
        <v>53629</v>
      </c>
      <c r="J5" s="10">
        <v>92988</v>
      </c>
      <c r="K5" s="114" t="s">
        <v>3</v>
      </c>
      <c r="L5" s="5">
        <v>46598</v>
      </c>
      <c r="M5" s="5">
        <v>692744</v>
      </c>
      <c r="N5" s="5">
        <v>59364</v>
      </c>
      <c r="O5" s="5">
        <v>40314</v>
      </c>
      <c r="P5" s="4">
        <v>34426</v>
      </c>
      <c r="Q5" s="4">
        <v>74172</v>
      </c>
      <c r="R5" s="4">
        <v>102329</v>
      </c>
      <c r="S5" s="5">
        <v>50739</v>
      </c>
      <c r="T5" s="5">
        <v>866008</v>
      </c>
      <c r="U5" s="5" t="s">
        <v>3</v>
      </c>
      <c r="V5" s="5">
        <v>43666</v>
      </c>
      <c r="W5" s="14">
        <v>3109209</v>
      </c>
      <c r="X5" s="14">
        <v>4998009</v>
      </c>
      <c r="Y5" s="14">
        <v>1024954</v>
      </c>
      <c r="Z5" s="39">
        <v>28577460</v>
      </c>
      <c r="AA5" s="7" t="s">
        <v>3</v>
      </c>
      <c r="AB5" s="7" t="s">
        <v>3</v>
      </c>
      <c r="AC5" s="9">
        <v>4062797</v>
      </c>
      <c r="AD5" s="9">
        <v>398818</v>
      </c>
      <c r="AE5" s="3">
        <v>104752</v>
      </c>
      <c r="AF5" s="3">
        <v>46308</v>
      </c>
      <c r="AG5" s="3">
        <v>23512</v>
      </c>
      <c r="AH5" s="3">
        <v>85952</v>
      </c>
      <c r="AI5" s="1">
        <v>11429</v>
      </c>
      <c r="AJ5" s="1">
        <v>1042</v>
      </c>
      <c r="AK5" s="1">
        <v>13840</v>
      </c>
      <c r="AL5" s="1">
        <v>81077</v>
      </c>
      <c r="AM5" s="1">
        <v>14881</v>
      </c>
      <c r="AN5" s="64" t="s">
        <v>3</v>
      </c>
      <c r="AO5" s="64" t="s">
        <v>3</v>
      </c>
      <c r="AP5" s="64" t="s">
        <v>3</v>
      </c>
      <c r="AQ5" s="64" t="s">
        <v>3</v>
      </c>
      <c r="AR5" s="64" t="s">
        <v>3</v>
      </c>
      <c r="AS5" s="42">
        <v>5616</v>
      </c>
      <c r="AT5" s="42">
        <v>18561</v>
      </c>
      <c r="AU5" s="42">
        <v>5178</v>
      </c>
      <c r="AV5" s="42">
        <v>5737</v>
      </c>
      <c r="AW5" s="53" t="s">
        <v>3</v>
      </c>
      <c r="AX5" s="53" t="s">
        <v>3</v>
      </c>
      <c r="AY5" s="57" t="s">
        <v>3</v>
      </c>
      <c r="AZ5" s="57" t="s">
        <v>3</v>
      </c>
      <c r="BA5" s="121" t="s">
        <v>3</v>
      </c>
      <c r="BB5" s="4" t="s">
        <v>3</v>
      </c>
      <c r="BC5" s="38" t="s">
        <v>3</v>
      </c>
      <c r="BD5" s="3">
        <v>86452</v>
      </c>
    </row>
    <row r="6" spans="1:56" ht="15" customHeight="1" x14ac:dyDescent="0.25">
      <c r="A6" s="38" t="s">
        <v>58</v>
      </c>
      <c r="B6" s="38" t="s">
        <v>138</v>
      </c>
      <c r="C6" s="38" t="s">
        <v>146</v>
      </c>
      <c r="D6" s="48">
        <v>380.33704999999998</v>
      </c>
      <c r="E6" s="92">
        <f t="shared" si="0"/>
        <v>60.416666666666664</v>
      </c>
      <c r="F6" s="12" t="s">
        <v>3</v>
      </c>
      <c r="G6" s="12" t="s">
        <v>3</v>
      </c>
      <c r="H6" s="12" t="s">
        <v>3</v>
      </c>
      <c r="I6" s="127">
        <v>65931</v>
      </c>
      <c r="J6" s="10">
        <v>116429</v>
      </c>
      <c r="K6" s="114" t="s">
        <v>3</v>
      </c>
      <c r="L6" s="5">
        <v>52029</v>
      </c>
      <c r="M6" s="5">
        <v>1362036</v>
      </c>
      <c r="N6" s="5">
        <v>72155</v>
      </c>
      <c r="O6" s="4">
        <v>54541</v>
      </c>
      <c r="P6" s="5">
        <v>50401</v>
      </c>
      <c r="Q6" s="4">
        <v>68241</v>
      </c>
      <c r="R6" s="4">
        <v>91710</v>
      </c>
      <c r="S6" s="5">
        <v>70102</v>
      </c>
      <c r="T6" s="5">
        <v>410864</v>
      </c>
      <c r="U6" s="5" t="s">
        <v>3</v>
      </c>
      <c r="V6" s="5">
        <v>58355</v>
      </c>
      <c r="W6" s="14">
        <v>3979393</v>
      </c>
      <c r="X6" s="14">
        <v>5307156</v>
      </c>
      <c r="Y6" s="14">
        <v>808097</v>
      </c>
      <c r="Z6" s="39">
        <v>36480564</v>
      </c>
      <c r="AA6" s="7" t="s">
        <v>3</v>
      </c>
      <c r="AB6" s="7" t="s">
        <v>3</v>
      </c>
      <c r="AC6" s="9">
        <v>3513618</v>
      </c>
      <c r="AD6" s="9" t="s">
        <v>3</v>
      </c>
      <c r="AE6" s="3">
        <v>253844</v>
      </c>
      <c r="AF6" s="3">
        <v>42632</v>
      </c>
      <c r="AG6" s="3">
        <v>21492</v>
      </c>
      <c r="AH6" s="3">
        <v>110240</v>
      </c>
      <c r="AI6" s="1">
        <v>31508</v>
      </c>
      <c r="AJ6" s="1">
        <v>2422</v>
      </c>
      <c r="AK6" s="1">
        <v>37643</v>
      </c>
      <c r="AL6" s="1">
        <v>94717</v>
      </c>
      <c r="AM6" s="1">
        <v>29078</v>
      </c>
      <c r="AN6" s="64" t="s">
        <v>3</v>
      </c>
      <c r="AO6" s="64" t="s">
        <v>3</v>
      </c>
      <c r="AP6" s="64" t="s">
        <v>3</v>
      </c>
      <c r="AQ6" s="64" t="s">
        <v>3</v>
      </c>
      <c r="AR6" s="64" t="s">
        <v>3</v>
      </c>
      <c r="AS6" s="42">
        <v>9867</v>
      </c>
      <c r="AT6" s="42">
        <v>26713</v>
      </c>
      <c r="AU6" s="42">
        <v>10158</v>
      </c>
      <c r="AV6" s="42">
        <v>8874</v>
      </c>
      <c r="AW6" s="53" t="s">
        <v>3</v>
      </c>
      <c r="AX6" s="53" t="s">
        <v>3</v>
      </c>
      <c r="AY6" s="57">
        <v>944987</v>
      </c>
      <c r="AZ6" s="57" t="s">
        <v>3</v>
      </c>
      <c r="BA6" s="121" t="s">
        <v>3</v>
      </c>
      <c r="BB6" s="4" t="s">
        <v>3</v>
      </c>
      <c r="BC6" s="38" t="s">
        <v>3</v>
      </c>
      <c r="BD6" s="3">
        <v>146012</v>
      </c>
    </row>
    <row r="7" spans="1:56" s="31" customFormat="1" ht="15" customHeight="1" x14ac:dyDescent="0.25">
      <c r="A7" s="38" t="s">
        <v>59</v>
      </c>
      <c r="B7" s="38" t="s">
        <v>138</v>
      </c>
      <c r="C7" s="38" t="s">
        <v>147</v>
      </c>
      <c r="D7" s="48">
        <v>424.36326500000001</v>
      </c>
      <c r="E7" s="92">
        <f t="shared" si="0"/>
        <v>60.416666666666664</v>
      </c>
      <c r="F7" s="126">
        <v>1395</v>
      </c>
      <c r="G7" s="126">
        <v>2215</v>
      </c>
      <c r="H7" s="126">
        <v>941</v>
      </c>
      <c r="I7" s="127">
        <v>75967</v>
      </c>
      <c r="J7" s="10">
        <v>107149</v>
      </c>
      <c r="K7" s="114" t="s">
        <v>3</v>
      </c>
      <c r="L7" s="5">
        <v>53057</v>
      </c>
      <c r="M7" s="5">
        <v>1528613</v>
      </c>
      <c r="N7" s="5">
        <v>74541</v>
      </c>
      <c r="O7" s="4">
        <v>66469</v>
      </c>
      <c r="P7" s="5">
        <v>58188</v>
      </c>
      <c r="Q7" s="4">
        <v>73559</v>
      </c>
      <c r="R7" s="4">
        <v>88264</v>
      </c>
      <c r="S7" s="4">
        <v>87883</v>
      </c>
      <c r="T7" s="5">
        <v>612852</v>
      </c>
      <c r="U7" s="5" t="s">
        <v>3</v>
      </c>
      <c r="V7" s="5">
        <v>60660</v>
      </c>
      <c r="W7" s="14">
        <v>5557451</v>
      </c>
      <c r="X7" s="14">
        <v>5931398</v>
      </c>
      <c r="Y7" s="14">
        <v>700100</v>
      </c>
      <c r="Z7" s="39">
        <v>53253652</v>
      </c>
      <c r="AA7" s="7" t="s">
        <v>3</v>
      </c>
      <c r="AB7" s="7" t="s">
        <v>3</v>
      </c>
      <c r="AC7" s="9">
        <v>3599803</v>
      </c>
      <c r="AD7" s="9" t="s">
        <v>3</v>
      </c>
      <c r="AE7" s="3">
        <v>345620</v>
      </c>
      <c r="AF7" s="3">
        <v>35120</v>
      </c>
      <c r="AG7" s="3">
        <v>20272</v>
      </c>
      <c r="AH7" s="3">
        <v>87996</v>
      </c>
      <c r="AI7" s="1">
        <v>73175</v>
      </c>
      <c r="AJ7" s="1">
        <v>6864</v>
      </c>
      <c r="AK7" s="1">
        <v>109020</v>
      </c>
      <c r="AL7" s="1">
        <v>184532</v>
      </c>
      <c r="AM7" s="1">
        <v>54335</v>
      </c>
      <c r="AN7" s="64" t="s">
        <v>3</v>
      </c>
      <c r="AO7" s="64" t="s">
        <v>3</v>
      </c>
      <c r="AP7" s="64" t="s">
        <v>3</v>
      </c>
      <c r="AQ7" s="64" t="s">
        <v>3</v>
      </c>
      <c r="AR7" s="64" t="s">
        <v>3</v>
      </c>
      <c r="AS7" s="42">
        <v>14769</v>
      </c>
      <c r="AT7" s="42">
        <v>27647</v>
      </c>
      <c r="AU7" s="42">
        <v>14456</v>
      </c>
      <c r="AV7" s="42">
        <v>12530</v>
      </c>
      <c r="AW7" s="53" t="s">
        <v>3</v>
      </c>
      <c r="AX7" s="53" t="s">
        <v>3</v>
      </c>
      <c r="AY7" s="57">
        <v>1036131</v>
      </c>
      <c r="AZ7" s="57" t="s">
        <v>3</v>
      </c>
      <c r="BA7" s="121" t="s">
        <v>3</v>
      </c>
      <c r="BB7" s="4" t="s">
        <v>3</v>
      </c>
      <c r="BC7" s="38" t="s">
        <v>3</v>
      </c>
      <c r="BD7" s="3">
        <v>179584</v>
      </c>
    </row>
    <row r="8" spans="1:56" ht="15" customHeight="1" x14ac:dyDescent="0.25">
      <c r="A8" s="38" t="s">
        <v>60</v>
      </c>
      <c r="B8" s="38" t="s">
        <v>138</v>
      </c>
      <c r="C8" s="38" t="s">
        <v>148</v>
      </c>
      <c r="D8" s="48">
        <v>468.38947899999999</v>
      </c>
      <c r="E8" s="92">
        <f t="shared" si="0"/>
        <v>58.333333333333336</v>
      </c>
      <c r="F8" s="126">
        <v>5345</v>
      </c>
      <c r="G8" s="126">
        <v>7730</v>
      </c>
      <c r="H8" s="126">
        <v>1219</v>
      </c>
      <c r="I8" s="127">
        <v>57140</v>
      </c>
      <c r="J8" s="10">
        <v>89669</v>
      </c>
      <c r="K8" s="114" t="s">
        <v>3</v>
      </c>
      <c r="L8" s="4">
        <v>58766</v>
      </c>
      <c r="M8" s="5">
        <v>1251651</v>
      </c>
      <c r="N8" s="5">
        <v>97454</v>
      </c>
      <c r="O8" s="4">
        <v>73716</v>
      </c>
      <c r="P8" s="5">
        <v>75244</v>
      </c>
      <c r="Q8" s="4">
        <v>81812</v>
      </c>
      <c r="R8" s="4">
        <v>113782</v>
      </c>
      <c r="S8" s="4">
        <v>109831</v>
      </c>
      <c r="T8" s="5">
        <v>832039</v>
      </c>
      <c r="U8" s="5" t="s">
        <v>3</v>
      </c>
      <c r="V8" s="4">
        <v>79237</v>
      </c>
      <c r="W8" s="14">
        <v>6915151</v>
      </c>
      <c r="X8" s="13">
        <v>6837676</v>
      </c>
      <c r="Y8" s="13">
        <v>551000</v>
      </c>
      <c r="Z8" s="40">
        <v>63520968</v>
      </c>
      <c r="AA8" s="7" t="s">
        <v>3</v>
      </c>
      <c r="AB8" s="7" t="s">
        <v>3</v>
      </c>
      <c r="AC8" s="8">
        <v>3480084</v>
      </c>
      <c r="AD8" s="9" t="s">
        <v>3</v>
      </c>
      <c r="AE8" s="3">
        <v>509792</v>
      </c>
      <c r="AF8" s="3">
        <v>26672</v>
      </c>
      <c r="AG8" s="3">
        <v>16728</v>
      </c>
      <c r="AH8" s="3">
        <v>73984</v>
      </c>
      <c r="AI8" s="1">
        <v>118553</v>
      </c>
      <c r="AJ8" s="1">
        <v>10021</v>
      </c>
      <c r="AK8" s="1">
        <v>192551</v>
      </c>
      <c r="AL8" s="1">
        <v>238620</v>
      </c>
      <c r="AM8" s="1">
        <v>59456</v>
      </c>
      <c r="AN8" s="64" t="s">
        <v>3</v>
      </c>
      <c r="AO8" s="64" t="s">
        <v>3</v>
      </c>
      <c r="AP8" s="64" t="s">
        <v>3</v>
      </c>
      <c r="AQ8" s="64" t="s">
        <v>3</v>
      </c>
      <c r="AR8" s="64" t="s">
        <v>3</v>
      </c>
      <c r="AS8" s="42">
        <v>19565</v>
      </c>
      <c r="AT8" s="42">
        <v>26615</v>
      </c>
      <c r="AU8" s="42">
        <v>16142</v>
      </c>
      <c r="AV8" s="42">
        <v>15462</v>
      </c>
      <c r="AW8" s="53" t="s">
        <v>3</v>
      </c>
      <c r="AX8" s="53" t="s">
        <v>3</v>
      </c>
      <c r="AY8" s="57" t="s">
        <v>3</v>
      </c>
      <c r="AZ8" s="57" t="s">
        <v>3</v>
      </c>
      <c r="BA8" s="121" t="s">
        <v>3</v>
      </c>
      <c r="BB8" s="5">
        <v>3144493.591</v>
      </c>
      <c r="BC8" s="38" t="s">
        <v>3</v>
      </c>
      <c r="BD8" s="3">
        <v>194484</v>
      </c>
    </row>
    <row r="9" spans="1:56" ht="15" customHeight="1" x14ac:dyDescent="0.25">
      <c r="A9" s="38" t="s">
        <v>61</v>
      </c>
      <c r="B9" s="38" t="s">
        <v>138</v>
      </c>
      <c r="C9" s="38" t="s">
        <v>149</v>
      </c>
      <c r="D9" s="48">
        <v>512.41569400000003</v>
      </c>
      <c r="E9" s="92">
        <f t="shared" si="0"/>
        <v>58.333333333333336</v>
      </c>
      <c r="F9" s="126">
        <v>9369</v>
      </c>
      <c r="G9" s="126">
        <v>23357</v>
      </c>
      <c r="H9" s="126">
        <v>3017</v>
      </c>
      <c r="I9" s="127">
        <v>55602</v>
      </c>
      <c r="J9" s="10">
        <v>77097</v>
      </c>
      <c r="K9" s="114" t="s">
        <v>3</v>
      </c>
      <c r="L9" s="4">
        <v>60206</v>
      </c>
      <c r="M9" s="5">
        <v>913556</v>
      </c>
      <c r="N9" s="5">
        <v>102582</v>
      </c>
      <c r="O9" s="4">
        <v>79592</v>
      </c>
      <c r="P9" s="5">
        <v>96971</v>
      </c>
      <c r="Q9" s="4">
        <v>84173</v>
      </c>
      <c r="R9" s="5">
        <v>124607</v>
      </c>
      <c r="S9" s="4">
        <v>150341</v>
      </c>
      <c r="T9" s="5">
        <v>1156520</v>
      </c>
      <c r="U9" s="5" t="s">
        <v>3</v>
      </c>
      <c r="V9" s="4">
        <v>98728</v>
      </c>
      <c r="W9" s="14">
        <v>7724756</v>
      </c>
      <c r="X9" s="13">
        <v>8073236</v>
      </c>
      <c r="Y9" s="13">
        <v>490642</v>
      </c>
      <c r="Z9" s="40">
        <v>68626440</v>
      </c>
      <c r="AA9" s="7" t="s">
        <v>3</v>
      </c>
      <c r="AB9" s="7" t="s">
        <v>3</v>
      </c>
      <c r="AC9" s="8">
        <v>3011473</v>
      </c>
      <c r="AD9" s="9" t="s">
        <v>3</v>
      </c>
      <c r="AE9" s="3">
        <v>675872</v>
      </c>
      <c r="AF9" s="3">
        <v>19428</v>
      </c>
      <c r="AG9" s="3">
        <v>12152</v>
      </c>
      <c r="AH9" s="3">
        <v>56056</v>
      </c>
      <c r="AI9" s="1">
        <v>118828</v>
      </c>
      <c r="AJ9" s="1">
        <v>11738</v>
      </c>
      <c r="AK9" s="1">
        <v>202256</v>
      </c>
      <c r="AL9" s="1">
        <v>206165</v>
      </c>
      <c r="AM9" s="1">
        <v>61721</v>
      </c>
      <c r="AN9" s="64" t="s">
        <v>3</v>
      </c>
      <c r="AO9" s="64" t="s">
        <v>3</v>
      </c>
      <c r="AP9" s="64" t="s">
        <v>3</v>
      </c>
      <c r="AQ9" s="64" t="s">
        <v>3</v>
      </c>
      <c r="AR9" s="64" t="s">
        <v>3</v>
      </c>
      <c r="AS9" s="42">
        <v>15358</v>
      </c>
      <c r="AT9" s="42">
        <v>23246</v>
      </c>
      <c r="AU9" s="42">
        <v>16069</v>
      </c>
      <c r="AV9" s="42">
        <v>13641</v>
      </c>
      <c r="AW9" s="53" t="s">
        <v>3</v>
      </c>
      <c r="AX9" s="53" t="s">
        <v>3</v>
      </c>
      <c r="AY9" s="57" t="s">
        <v>3</v>
      </c>
      <c r="AZ9" s="57" t="s">
        <v>3</v>
      </c>
      <c r="BA9" s="121" t="s">
        <v>3</v>
      </c>
      <c r="BB9" s="5">
        <v>932366.03949999996</v>
      </c>
      <c r="BC9" s="38" t="s">
        <v>3</v>
      </c>
      <c r="BD9" s="3">
        <v>193276</v>
      </c>
    </row>
    <row r="10" spans="1:56" ht="15" customHeight="1" x14ac:dyDescent="0.25">
      <c r="A10" s="38" t="s">
        <v>62</v>
      </c>
      <c r="B10" s="38" t="s">
        <v>138</v>
      </c>
      <c r="C10" s="38" t="s">
        <v>150</v>
      </c>
      <c r="D10" s="48">
        <v>556.44190900000001</v>
      </c>
      <c r="E10" s="92">
        <f t="shared" si="0"/>
        <v>58.333333333333336</v>
      </c>
      <c r="F10" s="126">
        <v>8889</v>
      </c>
      <c r="G10" s="126">
        <v>17524</v>
      </c>
      <c r="H10" s="126">
        <v>2522</v>
      </c>
      <c r="I10" s="127">
        <v>41993</v>
      </c>
      <c r="J10" s="10">
        <v>61321</v>
      </c>
      <c r="K10" s="114" t="s">
        <v>3</v>
      </c>
      <c r="L10" s="4">
        <v>58755</v>
      </c>
      <c r="M10" s="5">
        <v>601337</v>
      </c>
      <c r="N10" s="5">
        <v>92619</v>
      </c>
      <c r="O10" s="5">
        <v>76985</v>
      </c>
      <c r="P10" s="5">
        <v>87999</v>
      </c>
      <c r="Q10" s="5">
        <v>72490</v>
      </c>
      <c r="R10" s="5">
        <v>125701</v>
      </c>
      <c r="S10" s="4">
        <v>150498</v>
      </c>
      <c r="T10" s="5">
        <v>1222205</v>
      </c>
      <c r="U10" s="5" t="s">
        <v>3</v>
      </c>
      <c r="V10" s="4">
        <v>86422</v>
      </c>
      <c r="W10" s="14">
        <v>7217630</v>
      </c>
      <c r="X10" s="13">
        <v>7164635</v>
      </c>
      <c r="Y10" s="13">
        <v>452365</v>
      </c>
      <c r="Z10" s="40">
        <v>61244400</v>
      </c>
      <c r="AA10" s="7" t="s">
        <v>3</v>
      </c>
      <c r="AB10" s="7" t="s">
        <v>3</v>
      </c>
      <c r="AC10" s="8">
        <v>2692328</v>
      </c>
      <c r="AD10" s="9" t="s">
        <v>3</v>
      </c>
      <c r="AE10" s="3">
        <v>800964</v>
      </c>
      <c r="AF10" s="3">
        <v>12356</v>
      </c>
      <c r="AG10" s="3">
        <v>11168</v>
      </c>
      <c r="AH10" s="3">
        <v>40104</v>
      </c>
      <c r="AI10" s="1">
        <v>98527</v>
      </c>
      <c r="AJ10" s="1">
        <v>8964</v>
      </c>
      <c r="AK10" s="1">
        <v>183861</v>
      </c>
      <c r="AL10" s="1">
        <v>176340</v>
      </c>
      <c r="AM10" s="1">
        <v>47701</v>
      </c>
      <c r="AN10" s="64" t="s">
        <v>3</v>
      </c>
      <c r="AO10" s="64" t="s">
        <v>3</v>
      </c>
      <c r="AP10" s="64" t="s">
        <v>3</v>
      </c>
      <c r="AQ10" s="64" t="s">
        <v>3</v>
      </c>
      <c r="AR10" s="64" t="s">
        <v>3</v>
      </c>
      <c r="AS10" s="42">
        <v>11844</v>
      </c>
      <c r="AT10" s="42">
        <v>17675</v>
      </c>
      <c r="AU10" s="42">
        <v>14714</v>
      </c>
      <c r="AV10" s="42">
        <v>10303</v>
      </c>
      <c r="AW10" s="53" t="s">
        <v>3</v>
      </c>
      <c r="AX10" s="53" t="s">
        <v>3</v>
      </c>
      <c r="AY10" s="57" t="s">
        <v>3</v>
      </c>
      <c r="AZ10" s="57" t="s">
        <v>3</v>
      </c>
      <c r="BA10" s="121" t="s">
        <v>3</v>
      </c>
      <c r="BB10" s="4" t="s">
        <v>3</v>
      </c>
      <c r="BC10" s="38" t="s">
        <v>3</v>
      </c>
      <c r="BD10" s="3">
        <v>170252</v>
      </c>
    </row>
    <row r="11" spans="1:56" ht="15" customHeight="1" x14ac:dyDescent="0.25">
      <c r="A11" s="38" t="s">
        <v>63</v>
      </c>
      <c r="B11" s="38" t="s">
        <v>138</v>
      </c>
      <c r="C11" s="38" t="s">
        <v>151</v>
      </c>
      <c r="D11" s="48">
        <v>600.46812399999999</v>
      </c>
      <c r="E11" s="92">
        <f t="shared" si="0"/>
        <v>58.333333333333336</v>
      </c>
      <c r="F11" s="126">
        <v>7008</v>
      </c>
      <c r="G11" s="126">
        <v>11383</v>
      </c>
      <c r="H11" s="126">
        <v>1347</v>
      </c>
      <c r="I11" s="10" t="s">
        <v>3</v>
      </c>
      <c r="J11" s="10" t="s">
        <v>3</v>
      </c>
      <c r="K11" s="114" t="s">
        <v>3</v>
      </c>
      <c r="L11" s="4">
        <v>42727</v>
      </c>
      <c r="M11" s="4">
        <v>368812</v>
      </c>
      <c r="N11" s="5">
        <v>64785</v>
      </c>
      <c r="O11" s="4">
        <v>64112</v>
      </c>
      <c r="P11" s="5">
        <v>66636</v>
      </c>
      <c r="Q11" s="5">
        <v>54040</v>
      </c>
      <c r="R11" s="5">
        <v>111174</v>
      </c>
      <c r="S11" s="4">
        <v>115681</v>
      </c>
      <c r="T11" s="5">
        <v>1172581</v>
      </c>
      <c r="U11" s="5" t="s">
        <v>3</v>
      </c>
      <c r="V11" s="4">
        <v>69505</v>
      </c>
      <c r="W11" s="14">
        <v>7012178</v>
      </c>
      <c r="X11" s="13">
        <v>7528494</v>
      </c>
      <c r="Y11" s="13">
        <v>312587</v>
      </c>
      <c r="Z11" s="40">
        <v>45432008</v>
      </c>
      <c r="AA11" s="7" t="s">
        <v>3</v>
      </c>
      <c r="AB11" s="7" t="s">
        <v>3</v>
      </c>
      <c r="AC11" s="8">
        <v>2025789</v>
      </c>
      <c r="AD11" s="9" t="s">
        <v>3</v>
      </c>
      <c r="AE11" s="3">
        <v>773244</v>
      </c>
      <c r="AF11" s="3">
        <v>10748</v>
      </c>
      <c r="AG11" s="3">
        <v>8244</v>
      </c>
      <c r="AH11" s="3">
        <v>27348</v>
      </c>
      <c r="AI11" s="1">
        <v>79140</v>
      </c>
      <c r="AJ11" s="1">
        <v>6253</v>
      </c>
      <c r="AK11" s="1">
        <v>157679</v>
      </c>
      <c r="AL11" s="1">
        <v>139884</v>
      </c>
      <c r="AM11" s="1">
        <v>31365</v>
      </c>
      <c r="AN11" s="64" t="s">
        <v>3</v>
      </c>
      <c r="AO11" s="64" t="s">
        <v>3</v>
      </c>
      <c r="AP11" s="64" t="s">
        <v>3</v>
      </c>
      <c r="AQ11" s="64" t="s">
        <v>3</v>
      </c>
      <c r="AR11" s="64" t="s">
        <v>3</v>
      </c>
      <c r="AS11" s="42">
        <v>9043</v>
      </c>
      <c r="AT11" s="42">
        <v>13013</v>
      </c>
      <c r="AU11" s="42">
        <v>12399</v>
      </c>
      <c r="AV11" s="42">
        <v>7583</v>
      </c>
      <c r="AW11" s="53" t="s">
        <v>3</v>
      </c>
      <c r="AX11" s="53" t="s">
        <v>3</v>
      </c>
      <c r="AY11" s="57" t="s">
        <v>3</v>
      </c>
      <c r="AZ11" s="57" t="s">
        <v>3</v>
      </c>
      <c r="BA11" s="121" t="s">
        <v>3</v>
      </c>
      <c r="BB11" s="4" t="s">
        <v>3</v>
      </c>
      <c r="BC11" s="38" t="s">
        <v>3</v>
      </c>
      <c r="BD11" s="3">
        <v>124240</v>
      </c>
    </row>
    <row r="12" spans="1:56" ht="15" customHeight="1" x14ac:dyDescent="0.25">
      <c r="A12" s="38" t="s">
        <v>64</v>
      </c>
      <c r="B12" s="38" t="s">
        <v>138</v>
      </c>
      <c r="C12" s="38" t="s">
        <v>152</v>
      </c>
      <c r="D12" s="48">
        <v>644.49433799999997</v>
      </c>
      <c r="E12" s="92">
        <f t="shared" si="0"/>
        <v>56.25</v>
      </c>
      <c r="F12" s="126">
        <v>4702</v>
      </c>
      <c r="G12" s="126">
        <v>7128</v>
      </c>
      <c r="H12" s="126">
        <v>748</v>
      </c>
      <c r="I12" s="10" t="s">
        <v>3</v>
      </c>
      <c r="J12" s="10" t="s">
        <v>3</v>
      </c>
      <c r="K12" s="114" t="s">
        <v>3</v>
      </c>
      <c r="L12" s="4">
        <v>35681</v>
      </c>
      <c r="M12" s="4">
        <v>223887</v>
      </c>
      <c r="N12" s="5">
        <v>47716</v>
      </c>
      <c r="O12" s="4">
        <v>53573</v>
      </c>
      <c r="P12" s="5">
        <v>50436</v>
      </c>
      <c r="Q12" s="5">
        <v>46488</v>
      </c>
      <c r="R12" s="5">
        <v>95137</v>
      </c>
      <c r="S12" s="4">
        <v>86396</v>
      </c>
      <c r="T12" s="5">
        <v>1169766</v>
      </c>
      <c r="U12" s="5" t="s">
        <v>3</v>
      </c>
      <c r="V12" s="4">
        <v>52672</v>
      </c>
      <c r="W12" s="14">
        <v>5566809</v>
      </c>
      <c r="X12" s="13">
        <v>6820772</v>
      </c>
      <c r="Y12" s="13">
        <v>264.16899999999998</v>
      </c>
      <c r="Z12" s="40">
        <v>36149900</v>
      </c>
      <c r="AA12" s="7" t="s">
        <v>3</v>
      </c>
      <c r="AB12" s="7" t="s">
        <v>3</v>
      </c>
      <c r="AC12" s="8">
        <v>1669240</v>
      </c>
      <c r="AD12" s="9" t="s">
        <v>3</v>
      </c>
      <c r="AE12" s="3">
        <v>699708</v>
      </c>
      <c r="AF12" s="3" t="s">
        <v>3</v>
      </c>
      <c r="AG12" s="3">
        <v>7680</v>
      </c>
      <c r="AH12" s="3">
        <v>21416</v>
      </c>
      <c r="AI12" s="1">
        <v>58784</v>
      </c>
      <c r="AJ12" s="1">
        <v>3319</v>
      </c>
      <c r="AK12" s="1">
        <v>117480</v>
      </c>
      <c r="AL12" s="1">
        <v>83163</v>
      </c>
      <c r="AM12" s="1">
        <v>24672</v>
      </c>
      <c r="AN12" s="64" t="s">
        <v>3</v>
      </c>
      <c r="AO12" s="64" t="s">
        <v>3</v>
      </c>
      <c r="AP12" s="64" t="s">
        <v>3</v>
      </c>
      <c r="AQ12" s="64" t="s">
        <v>3</v>
      </c>
      <c r="AR12" s="64" t="s">
        <v>3</v>
      </c>
      <c r="AS12" s="42">
        <v>7095</v>
      </c>
      <c r="AT12" s="42">
        <v>8643</v>
      </c>
      <c r="AU12" s="42">
        <v>10483</v>
      </c>
      <c r="AV12" s="42">
        <v>5837</v>
      </c>
      <c r="AW12" s="53" t="s">
        <v>3</v>
      </c>
      <c r="AX12" s="53" t="s">
        <v>3</v>
      </c>
      <c r="AY12" s="57" t="s">
        <v>3</v>
      </c>
      <c r="AZ12" s="57" t="s">
        <v>3</v>
      </c>
      <c r="BA12" s="121" t="s">
        <v>3</v>
      </c>
      <c r="BB12" s="4" t="s">
        <v>3</v>
      </c>
      <c r="BC12" s="38" t="s">
        <v>3</v>
      </c>
      <c r="BD12" s="3">
        <v>95176</v>
      </c>
    </row>
    <row r="13" spans="1:56" ht="15" customHeight="1" x14ac:dyDescent="0.25">
      <c r="A13" s="38" t="s">
        <v>65</v>
      </c>
      <c r="B13" s="38" t="s">
        <v>138</v>
      </c>
      <c r="C13" s="38" t="s">
        <v>153</v>
      </c>
      <c r="D13" s="48">
        <v>688.52055299999995</v>
      </c>
      <c r="E13" s="92">
        <f t="shared" si="0"/>
        <v>54.166666666666664</v>
      </c>
      <c r="F13" s="126">
        <v>2541</v>
      </c>
      <c r="G13" s="126">
        <v>5244</v>
      </c>
      <c r="H13" s="126">
        <v>528</v>
      </c>
      <c r="I13" s="10" t="s">
        <v>3</v>
      </c>
      <c r="J13" s="10" t="s">
        <v>3</v>
      </c>
      <c r="K13" s="114" t="s">
        <v>3</v>
      </c>
      <c r="L13" s="4">
        <v>29982</v>
      </c>
      <c r="M13" s="4">
        <v>118276</v>
      </c>
      <c r="N13" s="5">
        <v>34609</v>
      </c>
      <c r="O13" s="4">
        <v>31933</v>
      </c>
      <c r="P13" s="5">
        <v>36906</v>
      </c>
      <c r="Q13" s="5">
        <v>30583</v>
      </c>
      <c r="R13" s="5">
        <v>63362</v>
      </c>
      <c r="S13" s="4">
        <v>71258</v>
      </c>
      <c r="T13" s="5">
        <v>1092082</v>
      </c>
      <c r="U13" s="5" t="s">
        <v>3</v>
      </c>
      <c r="V13" s="4">
        <v>37542</v>
      </c>
      <c r="W13" s="14">
        <v>4908931</v>
      </c>
      <c r="X13" s="13">
        <v>4752636</v>
      </c>
      <c r="Y13" s="13" t="s">
        <v>3</v>
      </c>
      <c r="Z13" s="40">
        <v>27050142</v>
      </c>
      <c r="AA13" s="7" t="s">
        <v>3</v>
      </c>
      <c r="AB13" s="7" t="s">
        <v>3</v>
      </c>
      <c r="AC13" s="8">
        <v>1187399</v>
      </c>
      <c r="AD13" s="9" t="s">
        <v>3</v>
      </c>
      <c r="AE13" s="3">
        <v>621736</v>
      </c>
      <c r="AF13" s="3" t="s">
        <v>3</v>
      </c>
      <c r="AG13" s="3">
        <v>6116</v>
      </c>
      <c r="AH13" s="3">
        <v>13460</v>
      </c>
      <c r="AI13" s="1">
        <v>33882</v>
      </c>
      <c r="AJ13" s="1">
        <v>1414</v>
      </c>
      <c r="AK13" s="1">
        <v>72700</v>
      </c>
      <c r="AL13" s="1">
        <v>45701</v>
      </c>
      <c r="AM13" s="1">
        <v>15765</v>
      </c>
      <c r="AN13" s="64" t="s">
        <v>3</v>
      </c>
      <c r="AO13" s="64" t="s">
        <v>3</v>
      </c>
      <c r="AP13" s="64" t="s">
        <v>3</v>
      </c>
      <c r="AQ13" s="64" t="s">
        <v>3</v>
      </c>
      <c r="AR13" s="64" t="s">
        <v>3</v>
      </c>
      <c r="AS13" s="42">
        <v>5604</v>
      </c>
      <c r="AT13" s="42">
        <v>6781</v>
      </c>
      <c r="AU13" s="42">
        <v>7657</v>
      </c>
      <c r="AV13" s="42">
        <v>3586</v>
      </c>
      <c r="AW13" s="53" t="s">
        <v>3</v>
      </c>
      <c r="AX13" s="53" t="s">
        <v>3</v>
      </c>
      <c r="AY13" s="57" t="s">
        <v>3</v>
      </c>
      <c r="AZ13" s="57" t="s">
        <v>3</v>
      </c>
      <c r="BA13" s="121" t="s">
        <v>3</v>
      </c>
      <c r="BB13" s="4" t="s">
        <v>3</v>
      </c>
      <c r="BC13" s="38" t="s">
        <v>3</v>
      </c>
      <c r="BD13" s="3">
        <v>67876</v>
      </c>
    </row>
    <row r="14" spans="1:56" ht="15" customHeight="1" x14ac:dyDescent="0.25">
      <c r="A14" s="38" t="s">
        <v>66</v>
      </c>
      <c r="B14" s="38" t="s">
        <v>138</v>
      </c>
      <c r="C14" s="38" t="s">
        <v>154</v>
      </c>
      <c r="D14" s="48">
        <v>732.54676800000004</v>
      </c>
      <c r="E14" s="92">
        <f t="shared" si="0"/>
        <v>52.083333333333336</v>
      </c>
      <c r="F14" s="126">
        <v>1336</v>
      </c>
      <c r="G14" s="126">
        <v>2805</v>
      </c>
      <c r="H14" s="12" t="s">
        <v>3</v>
      </c>
      <c r="I14" s="10" t="s">
        <v>3</v>
      </c>
      <c r="J14" s="10" t="s">
        <v>3</v>
      </c>
      <c r="K14" s="114" t="s">
        <v>3</v>
      </c>
      <c r="L14" s="4">
        <v>16908</v>
      </c>
      <c r="M14" s="5">
        <v>71484</v>
      </c>
      <c r="N14" s="5">
        <v>26163</v>
      </c>
      <c r="O14" s="5">
        <v>19267</v>
      </c>
      <c r="P14" s="5">
        <v>36906</v>
      </c>
      <c r="Q14" s="5">
        <v>24659</v>
      </c>
      <c r="R14" s="5">
        <v>43214</v>
      </c>
      <c r="S14" s="5">
        <v>48836</v>
      </c>
      <c r="T14" s="5">
        <v>980421</v>
      </c>
      <c r="U14" s="5" t="s">
        <v>3</v>
      </c>
      <c r="V14" s="4">
        <v>24522</v>
      </c>
      <c r="W14" s="14">
        <v>3496571</v>
      </c>
      <c r="X14" s="13">
        <v>3632285</v>
      </c>
      <c r="Y14" s="13" t="s">
        <v>3</v>
      </c>
      <c r="Z14" s="40">
        <v>24888766</v>
      </c>
      <c r="AA14" s="7" t="s">
        <v>3</v>
      </c>
      <c r="AB14" s="7" t="s">
        <v>3</v>
      </c>
      <c r="AC14" s="8">
        <v>829876</v>
      </c>
      <c r="AD14" s="9" t="s">
        <v>3</v>
      </c>
      <c r="AE14" s="3">
        <v>506620</v>
      </c>
      <c r="AF14" s="3" t="s">
        <v>3</v>
      </c>
      <c r="AG14" s="3">
        <v>6268</v>
      </c>
      <c r="AH14" s="3">
        <v>10260</v>
      </c>
      <c r="AI14" s="1">
        <v>19108</v>
      </c>
      <c r="AJ14" s="1" t="s">
        <v>3</v>
      </c>
      <c r="AK14" s="1">
        <v>44467</v>
      </c>
      <c r="AL14" s="1">
        <v>22827</v>
      </c>
      <c r="AM14" s="1">
        <v>17780</v>
      </c>
      <c r="AN14" s="64" t="s">
        <v>3</v>
      </c>
      <c r="AO14" s="64" t="s">
        <v>3</v>
      </c>
      <c r="AP14" s="64" t="s">
        <v>3</v>
      </c>
      <c r="AQ14" s="64" t="s">
        <v>3</v>
      </c>
      <c r="AR14" s="64" t="s">
        <v>3</v>
      </c>
      <c r="AS14" s="42">
        <v>4014</v>
      </c>
      <c r="AT14" s="42">
        <v>4531</v>
      </c>
      <c r="AU14" s="42">
        <v>5858</v>
      </c>
      <c r="AV14" s="42">
        <v>2797</v>
      </c>
      <c r="AW14" s="53" t="s">
        <v>3</v>
      </c>
      <c r="AX14" s="53" t="s">
        <v>3</v>
      </c>
      <c r="AY14" s="57" t="s">
        <v>3</v>
      </c>
      <c r="AZ14" s="57" t="s">
        <v>3</v>
      </c>
      <c r="BA14" s="121" t="s">
        <v>3</v>
      </c>
      <c r="BB14" s="4" t="s">
        <v>3</v>
      </c>
      <c r="BC14" s="38" t="s">
        <v>3</v>
      </c>
      <c r="BD14" s="3">
        <v>52804</v>
      </c>
    </row>
    <row r="15" spans="1:56" ht="15" customHeight="1" x14ac:dyDescent="0.25">
      <c r="A15" s="38" t="s">
        <v>67</v>
      </c>
      <c r="B15" s="38" t="s">
        <v>138</v>
      </c>
      <c r="C15" s="38" t="s">
        <v>155</v>
      </c>
      <c r="D15" s="48">
        <v>776.57298300000002</v>
      </c>
      <c r="E15" s="92">
        <f t="shared" si="0"/>
        <v>50</v>
      </c>
      <c r="F15" s="12" t="s">
        <v>3</v>
      </c>
      <c r="G15" s="126">
        <v>1531</v>
      </c>
      <c r="H15" s="12" t="s">
        <v>3</v>
      </c>
      <c r="I15" s="10" t="s">
        <v>3</v>
      </c>
      <c r="J15" s="11" t="s">
        <v>3</v>
      </c>
      <c r="K15" s="114" t="s">
        <v>3</v>
      </c>
      <c r="L15" s="4">
        <v>8250</v>
      </c>
      <c r="M15" s="5">
        <v>42531</v>
      </c>
      <c r="N15" s="5">
        <v>14321</v>
      </c>
      <c r="O15" s="5">
        <v>13585</v>
      </c>
      <c r="P15" s="5">
        <v>32000</v>
      </c>
      <c r="Q15" s="5">
        <v>13230</v>
      </c>
      <c r="R15" s="5">
        <v>23394</v>
      </c>
      <c r="S15" s="4">
        <v>26197</v>
      </c>
      <c r="T15" s="5">
        <v>738831</v>
      </c>
      <c r="U15" s="5" t="s">
        <v>3</v>
      </c>
      <c r="V15" s="5">
        <v>12517</v>
      </c>
      <c r="W15" s="14">
        <v>2489329</v>
      </c>
      <c r="X15" s="13">
        <v>2273532</v>
      </c>
      <c r="Y15" s="13" t="s">
        <v>3</v>
      </c>
      <c r="Z15" s="40">
        <v>19093588</v>
      </c>
      <c r="AA15" s="7" t="s">
        <v>3</v>
      </c>
      <c r="AB15" s="7" t="s">
        <v>3</v>
      </c>
      <c r="AC15" s="8">
        <v>584540</v>
      </c>
      <c r="AD15" s="9" t="s">
        <v>3</v>
      </c>
      <c r="AE15" s="3">
        <v>358992</v>
      </c>
      <c r="AF15" s="3" t="s">
        <v>3</v>
      </c>
      <c r="AG15" s="3">
        <v>4992</v>
      </c>
      <c r="AH15" s="3">
        <v>7188</v>
      </c>
      <c r="AI15" s="1">
        <v>9429</v>
      </c>
      <c r="AJ15" s="1" t="s">
        <v>3</v>
      </c>
      <c r="AK15" s="1">
        <v>23710</v>
      </c>
      <c r="AL15" s="1">
        <v>13332</v>
      </c>
      <c r="AM15" s="1">
        <v>4728</v>
      </c>
      <c r="AN15" s="64" t="s">
        <v>3</v>
      </c>
      <c r="AO15" s="64" t="s">
        <v>3</v>
      </c>
      <c r="AP15" s="64" t="s">
        <v>3</v>
      </c>
      <c r="AQ15" s="64" t="s">
        <v>3</v>
      </c>
      <c r="AR15" s="64" t="s">
        <v>3</v>
      </c>
      <c r="AS15" s="42" t="s">
        <v>3</v>
      </c>
      <c r="AT15" s="42">
        <v>3628</v>
      </c>
      <c r="AU15" s="42">
        <v>3919</v>
      </c>
      <c r="AV15" s="42">
        <v>2113</v>
      </c>
      <c r="AW15" s="53" t="s">
        <v>3</v>
      </c>
      <c r="AX15" s="53" t="s">
        <v>3</v>
      </c>
      <c r="AY15" s="57" t="s">
        <v>3</v>
      </c>
      <c r="AZ15" s="57" t="s">
        <v>3</v>
      </c>
      <c r="BA15" s="121" t="s">
        <v>3</v>
      </c>
      <c r="BB15" s="4" t="s">
        <v>3</v>
      </c>
      <c r="BC15" s="38" t="s">
        <v>3</v>
      </c>
      <c r="BD15" s="3">
        <v>43788</v>
      </c>
    </row>
    <row r="16" spans="1:56" ht="15" customHeight="1" x14ac:dyDescent="0.25">
      <c r="A16" s="38" t="s">
        <v>68</v>
      </c>
      <c r="B16" s="38" t="s">
        <v>138</v>
      </c>
      <c r="C16" s="38" t="s">
        <v>156</v>
      </c>
      <c r="D16" s="48">
        <v>820.599197</v>
      </c>
      <c r="E16" s="92">
        <f t="shared" si="0"/>
        <v>45.833333333333329</v>
      </c>
      <c r="F16" s="12" t="s">
        <v>3</v>
      </c>
      <c r="G16" s="12" t="s">
        <v>3</v>
      </c>
      <c r="H16" s="12" t="s">
        <v>3</v>
      </c>
      <c r="I16" s="11" t="s">
        <v>3</v>
      </c>
      <c r="J16" s="11" t="s">
        <v>3</v>
      </c>
      <c r="K16" s="114" t="s">
        <v>3</v>
      </c>
      <c r="L16" s="4">
        <v>5910</v>
      </c>
      <c r="M16" s="4">
        <v>22649</v>
      </c>
      <c r="N16" s="5">
        <v>6342</v>
      </c>
      <c r="O16" s="4">
        <v>5438</v>
      </c>
      <c r="P16" s="5">
        <v>14281</v>
      </c>
      <c r="Q16" s="4">
        <v>6713</v>
      </c>
      <c r="R16" s="5">
        <v>14930</v>
      </c>
      <c r="S16" s="5" t="s">
        <v>3</v>
      </c>
      <c r="T16" s="5">
        <v>515649</v>
      </c>
      <c r="U16" s="5" t="s">
        <v>3</v>
      </c>
      <c r="V16" s="4">
        <v>5128</v>
      </c>
      <c r="W16" s="13">
        <v>1590939</v>
      </c>
      <c r="X16" s="13">
        <v>1763599</v>
      </c>
      <c r="Y16" s="13" t="s">
        <v>3</v>
      </c>
      <c r="Z16" s="40">
        <v>13804446</v>
      </c>
      <c r="AA16" s="7" t="s">
        <v>3</v>
      </c>
      <c r="AB16" s="7" t="s">
        <v>3</v>
      </c>
      <c r="AC16" s="8">
        <v>284228</v>
      </c>
      <c r="AD16" s="9" t="s">
        <v>3</v>
      </c>
      <c r="AE16" s="3">
        <v>211496</v>
      </c>
      <c r="AF16" s="3" t="s">
        <v>3</v>
      </c>
      <c r="AG16" s="3" t="s">
        <v>3</v>
      </c>
      <c r="AH16" s="3">
        <v>3532</v>
      </c>
      <c r="AI16" s="1">
        <v>4235</v>
      </c>
      <c r="AJ16" s="1" t="s">
        <v>3</v>
      </c>
      <c r="AK16" s="1">
        <v>13408</v>
      </c>
      <c r="AL16" s="1">
        <v>7266</v>
      </c>
      <c r="AM16" s="1">
        <v>2707</v>
      </c>
      <c r="AN16" s="64" t="s">
        <v>3</v>
      </c>
      <c r="AO16" s="64" t="s">
        <v>3</v>
      </c>
      <c r="AP16" s="64" t="s">
        <v>3</v>
      </c>
      <c r="AQ16" s="64" t="s">
        <v>3</v>
      </c>
      <c r="AR16" s="64" t="s">
        <v>3</v>
      </c>
      <c r="AS16" s="42" t="s">
        <v>3</v>
      </c>
      <c r="AT16" s="42">
        <f>2008</f>
        <v>2008</v>
      </c>
      <c r="AU16" s="42">
        <v>2400</v>
      </c>
      <c r="AV16" s="42">
        <v>1191</v>
      </c>
      <c r="AW16" s="53" t="s">
        <v>3</v>
      </c>
      <c r="AX16" s="53" t="s">
        <v>3</v>
      </c>
      <c r="AY16" s="57" t="s">
        <v>3</v>
      </c>
      <c r="AZ16" s="57" t="s">
        <v>3</v>
      </c>
      <c r="BA16" s="121" t="s">
        <v>3</v>
      </c>
      <c r="BB16" s="4" t="s">
        <v>3</v>
      </c>
      <c r="BC16" s="38" t="s">
        <v>3</v>
      </c>
      <c r="BD16" s="3" t="s">
        <v>3</v>
      </c>
    </row>
    <row r="17" spans="1:56" ht="15" customHeight="1" x14ac:dyDescent="0.25">
      <c r="A17" s="38" t="s">
        <v>69</v>
      </c>
      <c r="B17" s="38" t="s">
        <v>138</v>
      </c>
      <c r="C17" s="38" t="s">
        <v>157</v>
      </c>
      <c r="D17" s="48">
        <v>864.62541199999998</v>
      </c>
      <c r="E17" s="92">
        <f t="shared" si="0"/>
        <v>35.416666666666671</v>
      </c>
      <c r="F17" s="12" t="s">
        <v>3</v>
      </c>
      <c r="G17" s="12" t="s">
        <v>3</v>
      </c>
      <c r="H17" s="12" t="s">
        <v>3</v>
      </c>
      <c r="I17" s="11" t="s">
        <v>3</v>
      </c>
      <c r="J17" s="11" t="s">
        <v>3</v>
      </c>
      <c r="K17" s="114" t="s">
        <v>3</v>
      </c>
      <c r="L17" s="4" t="s">
        <v>3</v>
      </c>
      <c r="M17" s="4">
        <v>11478</v>
      </c>
      <c r="N17" s="5">
        <v>2757</v>
      </c>
      <c r="O17" s="4">
        <v>3580</v>
      </c>
      <c r="P17" s="5">
        <v>6482</v>
      </c>
      <c r="Q17" s="4">
        <v>3846</v>
      </c>
      <c r="R17" s="5">
        <v>5663</v>
      </c>
      <c r="S17" s="5" t="s">
        <v>3</v>
      </c>
      <c r="T17" s="4">
        <v>380902</v>
      </c>
      <c r="U17" s="5" t="s">
        <v>3</v>
      </c>
      <c r="V17" s="4">
        <v>2318</v>
      </c>
      <c r="W17" s="13">
        <v>954940</v>
      </c>
      <c r="X17" s="13">
        <v>865035</v>
      </c>
      <c r="Y17" s="13" t="s">
        <v>3</v>
      </c>
      <c r="Z17" s="40">
        <v>7924727</v>
      </c>
      <c r="AA17" s="7" t="s">
        <v>3</v>
      </c>
      <c r="AB17" s="7" t="s">
        <v>3</v>
      </c>
      <c r="AC17" s="8">
        <v>200365</v>
      </c>
      <c r="AD17" s="9" t="s">
        <v>3</v>
      </c>
      <c r="AE17" s="3">
        <v>140832</v>
      </c>
      <c r="AF17" s="3" t="s">
        <v>3</v>
      </c>
      <c r="AG17" s="3" t="s">
        <v>3</v>
      </c>
      <c r="AH17" s="3">
        <v>2296</v>
      </c>
      <c r="AI17" s="1" t="s">
        <v>3</v>
      </c>
      <c r="AJ17" s="1" t="s">
        <v>3</v>
      </c>
      <c r="AK17" s="1">
        <v>6315</v>
      </c>
      <c r="AL17" s="1" t="s">
        <v>3</v>
      </c>
      <c r="AM17" s="1">
        <v>1419</v>
      </c>
      <c r="AN17" s="64" t="s">
        <v>3</v>
      </c>
      <c r="AO17" s="64" t="s">
        <v>3</v>
      </c>
      <c r="AP17" s="64" t="s">
        <v>3</v>
      </c>
      <c r="AQ17" s="64" t="s">
        <v>3</v>
      </c>
      <c r="AR17" s="64" t="s">
        <v>3</v>
      </c>
      <c r="AS17" s="42" t="s">
        <v>3</v>
      </c>
      <c r="AT17" s="42">
        <v>878</v>
      </c>
      <c r="AU17" s="42" t="s">
        <v>3</v>
      </c>
      <c r="AV17" s="42" t="s">
        <v>3</v>
      </c>
      <c r="AW17" s="53" t="s">
        <v>3</v>
      </c>
      <c r="AX17" s="53" t="s">
        <v>3</v>
      </c>
      <c r="AY17" s="57" t="s">
        <v>3</v>
      </c>
      <c r="AZ17" s="57" t="s">
        <v>3</v>
      </c>
      <c r="BA17" s="121" t="s">
        <v>3</v>
      </c>
      <c r="BB17" s="4" t="s">
        <v>3</v>
      </c>
      <c r="BC17" s="38" t="s">
        <v>3</v>
      </c>
      <c r="BD17" s="3" t="s">
        <v>3</v>
      </c>
    </row>
    <row r="18" spans="1:56" ht="15" customHeight="1" x14ac:dyDescent="0.25">
      <c r="A18" s="38" t="s">
        <v>70</v>
      </c>
      <c r="B18" s="38" t="s">
        <v>138</v>
      </c>
      <c r="C18" s="38" t="s">
        <v>158</v>
      </c>
      <c r="D18" s="48">
        <v>908.65162699999996</v>
      </c>
      <c r="E18" s="92">
        <f t="shared" si="0"/>
        <v>18.75</v>
      </c>
      <c r="F18" s="12" t="s">
        <v>3</v>
      </c>
      <c r="G18" s="12" t="s">
        <v>3</v>
      </c>
      <c r="H18" s="12" t="s">
        <v>3</v>
      </c>
      <c r="I18" s="11" t="s">
        <v>3</v>
      </c>
      <c r="J18" s="11" t="s">
        <v>3</v>
      </c>
      <c r="K18" s="114" t="s">
        <v>3</v>
      </c>
      <c r="L18" s="4" t="s">
        <v>3</v>
      </c>
      <c r="M18" s="4">
        <v>9302</v>
      </c>
      <c r="N18" s="5" t="s">
        <v>3</v>
      </c>
      <c r="O18" s="4" t="s">
        <v>3</v>
      </c>
      <c r="P18" s="5" t="s">
        <v>3</v>
      </c>
      <c r="Q18" s="5" t="s">
        <v>3</v>
      </c>
      <c r="R18" s="5">
        <v>3112</v>
      </c>
      <c r="S18" s="5" t="s">
        <v>3</v>
      </c>
      <c r="T18" s="4">
        <v>197195</v>
      </c>
      <c r="U18" s="5" t="s">
        <v>3</v>
      </c>
      <c r="V18" s="4" t="s">
        <v>3</v>
      </c>
      <c r="W18" s="13">
        <v>517321</v>
      </c>
      <c r="X18" s="14">
        <v>732621</v>
      </c>
      <c r="Y18" s="13" t="s">
        <v>3</v>
      </c>
      <c r="Z18" s="39">
        <v>5104012</v>
      </c>
      <c r="AA18" s="7" t="s">
        <v>3</v>
      </c>
      <c r="AB18" s="7" t="s">
        <v>3</v>
      </c>
      <c r="AC18" s="9">
        <v>101141</v>
      </c>
      <c r="AD18" s="9" t="s">
        <v>3</v>
      </c>
      <c r="AE18" s="3">
        <v>93580</v>
      </c>
      <c r="AF18" s="3" t="s">
        <v>3</v>
      </c>
      <c r="AG18" s="3" t="s">
        <v>3</v>
      </c>
      <c r="AH18" s="3">
        <v>1464</v>
      </c>
      <c r="AI18" s="1" t="s">
        <v>3</v>
      </c>
      <c r="AJ18" s="1" t="s">
        <v>3</v>
      </c>
      <c r="AK18" s="1" t="s">
        <v>3</v>
      </c>
      <c r="AL18" s="1" t="s">
        <v>3</v>
      </c>
      <c r="AM18" s="1" t="s">
        <v>3</v>
      </c>
      <c r="AN18" s="64" t="s">
        <v>3</v>
      </c>
      <c r="AO18" s="64" t="s">
        <v>3</v>
      </c>
      <c r="AP18" s="64" t="s">
        <v>3</v>
      </c>
      <c r="AQ18" s="64" t="s">
        <v>3</v>
      </c>
      <c r="AR18" s="64" t="s">
        <v>3</v>
      </c>
      <c r="AS18" s="42" t="s">
        <v>3</v>
      </c>
      <c r="AT18" s="42" t="s">
        <v>3</v>
      </c>
      <c r="AU18" s="42" t="s">
        <v>3</v>
      </c>
      <c r="AV18" s="42" t="s">
        <v>3</v>
      </c>
      <c r="AW18" s="53" t="s">
        <v>3</v>
      </c>
      <c r="AX18" s="53" t="s">
        <v>3</v>
      </c>
      <c r="AY18" s="57" t="s">
        <v>3</v>
      </c>
      <c r="AZ18" s="57" t="s">
        <v>3</v>
      </c>
      <c r="BA18" s="121" t="s">
        <v>3</v>
      </c>
      <c r="BB18" s="4" t="s">
        <v>3</v>
      </c>
      <c r="BC18" s="38" t="s">
        <v>3</v>
      </c>
      <c r="BD18" s="3" t="s">
        <v>3</v>
      </c>
    </row>
    <row r="19" spans="1:56" ht="15" customHeight="1" x14ac:dyDescent="0.25">
      <c r="A19" s="38" t="s">
        <v>71</v>
      </c>
      <c r="B19" s="38" t="s">
        <v>138</v>
      </c>
      <c r="C19" s="38" t="s">
        <v>159</v>
      </c>
      <c r="D19" s="48">
        <v>952.67784200000006</v>
      </c>
      <c r="E19" s="92">
        <f t="shared" si="0"/>
        <v>16.666666666666664</v>
      </c>
      <c r="F19" s="12" t="s">
        <v>3</v>
      </c>
      <c r="G19" s="12" t="s">
        <v>3</v>
      </c>
      <c r="H19" s="12" t="s">
        <v>3</v>
      </c>
      <c r="I19" s="11" t="s">
        <v>3</v>
      </c>
      <c r="J19" s="11" t="s">
        <v>3</v>
      </c>
      <c r="K19" s="114" t="s">
        <v>3</v>
      </c>
      <c r="L19" s="4" t="s">
        <v>3</v>
      </c>
      <c r="M19" s="4">
        <v>5012</v>
      </c>
      <c r="N19" s="5" t="s">
        <v>3</v>
      </c>
      <c r="O19" s="4" t="s">
        <v>3</v>
      </c>
      <c r="P19" s="5" t="s">
        <v>3</v>
      </c>
      <c r="Q19" s="5" t="s">
        <v>3</v>
      </c>
      <c r="R19" s="5">
        <v>1746</v>
      </c>
      <c r="S19" s="5" t="s">
        <v>3</v>
      </c>
      <c r="T19" s="4">
        <v>110594</v>
      </c>
      <c r="U19" s="5" t="s">
        <v>3</v>
      </c>
      <c r="V19" s="4" t="s">
        <v>3</v>
      </c>
      <c r="W19" s="13">
        <v>339993</v>
      </c>
      <c r="X19" s="14">
        <v>355863</v>
      </c>
      <c r="Y19" s="13" t="s">
        <v>3</v>
      </c>
      <c r="Z19" s="39">
        <v>3774728</v>
      </c>
      <c r="AA19" s="7" t="s">
        <v>3</v>
      </c>
      <c r="AB19" s="7" t="s">
        <v>3</v>
      </c>
      <c r="AC19" s="9">
        <v>96625</v>
      </c>
      <c r="AD19" s="9" t="s">
        <v>3</v>
      </c>
      <c r="AE19" s="3">
        <v>54548</v>
      </c>
      <c r="AF19" s="3" t="s">
        <v>3</v>
      </c>
      <c r="AG19" s="3" t="s">
        <v>3</v>
      </c>
      <c r="AH19" s="3" t="s">
        <v>3</v>
      </c>
      <c r="AI19" s="1" t="s">
        <v>3</v>
      </c>
      <c r="AJ19" s="1" t="s">
        <v>3</v>
      </c>
      <c r="AK19" s="1" t="s">
        <v>3</v>
      </c>
      <c r="AL19" s="1" t="s">
        <v>3</v>
      </c>
      <c r="AM19" s="1" t="s">
        <v>3</v>
      </c>
      <c r="AN19" s="64" t="s">
        <v>3</v>
      </c>
      <c r="AO19" s="64" t="s">
        <v>3</v>
      </c>
      <c r="AP19" s="64" t="s">
        <v>3</v>
      </c>
      <c r="AQ19" s="64" t="s">
        <v>3</v>
      </c>
      <c r="AR19" s="64" t="s">
        <v>3</v>
      </c>
      <c r="AS19" s="42" t="s">
        <v>3</v>
      </c>
      <c r="AT19" s="42" t="s">
        <v>3</v>
      </c>
      <c r="AU19" s="42" t="s">
        <v>3</v>
      </c>
      <c r="AV19" s="42" t="s">
        <v>3</v>
      </c>
      <c r="AW19" s="53" t="s">
        <v>3</v>
      </c>
      <c r="AX19" s="53" t="s">
        <v>3</v>
      </c>
      <c r="AY19" s="57" t="s">
        <v>3</v>
      </c>
      <c r="AZ19" s="57" t="s">
        <v>3</v>
      </c>
      <c r="BA19" s="121" t="s">
        <v>3</v>
      </c>
      <c r="BB19" s="4" t="s">
        <v>3</v>
      </c>
      <c r="BC19" s="38" t="s">
        <v>3</v>
      </c>
      <c r="BD19" s="3" t="s">
        <v>3</v>
      </c>
    </row>
    <row r="20" spans="1:56" ht="15" customHeight="1" x14ac:dyDescent="0.25">
      <c r="A20" s="38" t="s">
        <v>72</v>
      </c>
      <c r="B20" s="38" t="s">
        <v>138</v>
      </c>
      <c r="C20" s="38" t="s">
        <v>160</v>
      </c>
      <c r="D20" s="48">
        <v>996.70405600000004</v>
      </c>
      <c r="E20" s="92">
        <f t="shared" si="0"/>
        <v>12.5</v>
      </c>
      <c r="F20" s="12" t="s">
        <v>3</v>
      </c>
      <c r="G20" s="12" t="s">
        <v>3</v>
      </c>
      <c r="H20" s="12" t="s">
        <v>3</v>
      </c>
      <c r="I20" s="11" t="s">
        <v>3</v>
      </c>
      <c r="J20" s="11" t="s">
        <v>3</v>
      </c>
      <c r="K20" s="114" t="s">
        <v>3</v>
      </c>
      <c r="L20" s="4" t="s">
        <v>3</v>
      </c>
      <c r="M20" s="4">
        <v>2937</v>
      </c>
      <c r="N20" s="5" t="s">
        <v>3</v>
      </c>
      <c r="O20" s="4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4">
        <v>88515</v>
      </c>
      <c r="U20" s="5" t="s">
        <v>3</v>
      </c>
      <c r="V20" s="4" t="s">
        <v>3</v>
      </c>
      <c r="W20" s="14">
        <v>146171</v>
      </c>
      <c r="X20" s="14">
        <v>98875</v>
      </c>
      <c r="Y20" s="13" t="s">
        <v>3</v>
      </c>
      <c r="Z20" s="39">
        <v>1046024</v>
      </c>
      <c r="AA20" s="7" t="s">
        <v>3</v>
      </c>
      <c r="AB20" s="7" t="s">
        <v>3</v>
      </c>
      <c r="AC20" s="9" t="s">
        <v>3</v>
      </c>
      <c r="AD20" s="9" t="s">
        <v>3</v>
      </c>
      <c r="AE20" s="3">
        <v>29988</v>
      </c>
      <c r="AF20" s="3" t="s">
        <v>3</v>
      </c>
      <c r="AG20" s="3" t="s">
        <v>3</v>
      </c>
      <c r="AH20" s="3" t="s">
        <v>3</v>
      </c>
      <c r="AI20" s="1" t="s">
        <v>3</v>
      </c>
      <c r="AJ20" s="1" t="s">
        <v>3</v>
      </c>
      <c r="AK20" s="1" t="s">
        <v>3</v>
      </c>
      <c r="AL20" s="1" t="s">
        <v>3</v>
      </c>
      <c r="AM20" s="1" t="s">
        <v>3</v>
      </c>
      <c r="AN20" s="64" t="s">
        <v>3</v>
      </c>
      <c r="AO20" s="64" t="s">
        <v>3</v>
      </c>
      <c r="AP20" s="64" t="s">
        <v>3</v>
      </c>
      <c r="AQ20" s="64" t="s">
        <v>3</v>
      </c>
      <c r="AR20" s="64" t="s">
        <v>3</v>
      </c>
      <c r="AS20" s="42" t="s">
        <v>3</v>
      </c>
      <c r="AT20" s="42" t="s">
        <v>3</v>
      </c>
      <c r="AU20" s="42" t="s">
        <v>3</v>
      </c>
      <c r="AV20" s="42" t="s">
        <v>3</v>
      </c>
      <c r="AW20" s="53" t="s">
        <v>3</v>
      </c>
      <c r="AX20" s="53" t="s">
        <v>3</v>
      </c>
      <c r="AY20" s="57" t="s">
        <v>3</v>
      </c>
      <c r="AZ20" s="57" t="s">
        <v>3</v>
      </c>
      <c r="BA20" s="121" t="s">
        <v>3</v>
      </c>
      <c r="BB20" s="4" t="s">
        <v>3</v>
      </c>
      <c r="BC20" s="38" t="s">
        <v>3</v>
      </c>
      <c r="BD20" s="3" t="s">
        <v>3</v>
      </c>
    </row>
    <row r="21" spans="1:56" ht="15" customHeight="1" x14ac:dyDescent="0.25">
      <c r="A21" s="38" t="s">
        <v>73</v>
      </c>
      <c r="B21" s="38" t="s">
        <v>138</v>
      </c>
      <c r="C21" s="38" t="s">
        <v>161</v>
      </c>
      <c r="D21" s="48">
        <v>195.12270000000001</v>
      </c>
      <c r="E21" s="92">
        <f t="shared" si="0"/>
        <v>52.083333333333336</v>
      </c>
      <c r="F21" s="12" t="s">
        <v>3</v>
      </c>
      <c r="G21" s="12" t="s">
        <v>3</v>
      </c>
      <c r="H21" s="12" t="s">
        <v>3</v>
      </c>
      <c r="I21" s="11" t="s">
        <v>3</v>
      </c>
      <c r="J21" s="11" t="s">
        <v>3</v>
      </c>
      <c r="K21" s="114" t="s">
        <v>3</v>
      </c>
      <c r="L21" s="5">
        <v>879037</v>
      </c>
      <c r="M21" s="5">
        <v>1895087</v>
      </c>
      <c r="N21" s="5">
        <v>1940943</v>
      </c>
      <c r="O21" s="5">
        <v>3305845</v>
      </c>
      <c r="P21" s="5">
        <v>2348983</v>
      </c>
      <c r="Q21" s="5">
        <v>1546516</v>
      </c>
      <c r="R21" s="5">
        <v>1474278</v>
      </c>
      <c r="S21" s="5">
        <v>4369611</v>
      </c>
      <c r="T21" s="5">
        <v>15335847</v>
      </c>
      <c r="U21" s="5">
        <v>5527662</v>
      </c>
      <c r="V21" s="5">
        <v>2202122</v>
      </c>
      <c r="W21" s="13">
        <v>17594178</v>
      </c>
      <c r="X21" s="13">
        <v>36885168</v>
      </c>
      <c r="Y21" s="14" t="s">
        <v>3</v>
      </c>
      <c r="Z21" s="40">
        <v>12009439</v>
      </c>
      <c r="AA21" s="6">
        <v>44470344</v>
      </c>
      <c r="AB21" s="6">
        <v>1556551</v>
      </c>
      <c r="AC21" s="8">
        <v>108856944</v>
      </c>
      <c r="AD21" s="8" t="s">
        <v>3</v>
      </c>
      <c r="AE21" s="3">
        <v>1325452</v>
      </c>
      <c r="AF21" s="3">
        <v>376700</v>
      </c>
      <c r="AG21" s="3">
        <v>388692</v>
      </c>
      <c r="AH21" s="3">
        <v>262244</v>
      </c>
      <c r="AI21" s="1">
        <v>126020</v>
      </c>
      <c r="AJ21" s="1">
        <v>63633</v>
      </c>
      <c r="AK21" s="1">
        <v>114997</v>
      </c>
      <c r="AL21" s="1">
        <v>53064</v>
      </c>
      <c r="AM21" s="2" t="s">
        <v>3</v>
      </c>
      <c r="AN21" s="64" t="s">
        <v>3</v>
      </c>
      <c r="AO21" s="64" t="s">
        <v>3</v>
      </c>
      <c r="AP21" s="64" t="s">
        <v>3</v>
      </c>
      <c r="AQ21" s="64" t="s">
        <v>3</v>
      </c>
      <c r="AR21" s="64" t="s">
        <v>3</v>
      </c>
      <c r="AS21" s="42" t="s">
        <v>3</v>
      </c>
      <c r="AT21" s="42" t="s">
        <v>3</v>
      </c>
      <c r="AU21" s="42" t="s">
        <v>3</v>
      </c>
      <c r="AV21" s="42" t="s">
        <v>3</v>
      </c>
      <c r="AW21" s="53" t="s">
        <v>3</v>
      </c>
      <c r="AX21" s="53" t="s">
        <v>3</v>
      </c>
      <c r="AY21" s="57" t="s">
        <v>3</v>
      </c>
      <c r="AZ21" s="57" t="s">
        <v>3</v>
      </c>
      <c r="BA21" s="121" t="s">
        <v>3</v>
      </c>
      <c r="BB21" s="4" t="s">
        <v>3</v>
      </c>
      <c r="BC21" s="38" t="s">
        <v>3</v>
      </c>
      <c r="BD21" s="3">
        <v>305712</v>
      </c>
    </row>
    <row r="22" spans="1:56" ht="15" customHeight="1" x14ac:dyDescent="0.25">
      <c r="A22" s="38" t="s">
        <v>74</v>
      </c>
      <c r="B22" s="38" t="s">
        <v>138</v>
      </c>
      <c r="C22" s="38" t="s">
        <v>162</v>
      </c>
      <c r="D22" s="48">
        <v>239.14891499999999</v>
      </c>
      <c r="E22" s="92">
        <f t="shared" si="0"/>
        <v>66.666666666666657</v>
      </c>
      <c r="F22" s="12">
        <v>274912</v>
      </c>
      <c r="G22" s="12">
        <v>446190</v>
      </c>
      <c r="H22" s="12">
        <v>409216</v>
      </c>
      <c r="I22" s="11" t="s">
        <v>3</v>
      </c>
      <c r="J22" s="11" t="s">
        <v>3</v>
      </c>
      <c r="K22" s="114">
        <v>68202</v>
      </c>
      <c r="L22" s="5">
        <v>386306</v>
      </c>
      <c r="M22" s="5">
        <v>1301431</v>
      </c>
      <c r="N22" s="5">
        <v>1669262</v>
      </c>
      <c r="O22" s="5">
        <v>2239988</v>
      </c>
      <c r="P22" s="5">
        <v>2121665</v>
      </c>
      <c r="Q22" s="5">
        <v>1027711</v>
      </c>
      <c r="R22" s="5">
        <v>726510</v>
      </c>
      <c r="S22" s="5">
        <v>4028658</v>
      </c>
      <c r="T22" s="5">
        <v>13627328</v>
      </c>
      <c r="U22" s="5">
        <v>6184628</v>
      </c>
      <c r="V22" s="5">
        <v>3819411</v>
      </c>
      <c r="W22" s="13">
        <v>40559924</v>
      </c>
      <c r="X22" s="13">
        <v>64989828</v>
      </c>
      <c r="Y22" s="14" t="s">
        <v>3</v>
      </c>
      <c r="Z22" s="40">
        <v>96645552</v>
      </c>
      <c r="AA22" s="6">
        <v>70697544</v>
      </c>
      <c r="AB22" s="6">
        <v>2344937</v>
      </c>
      <c r="AC22" s="8">
        <v>73184416</v>
      </c>
      <c r="AD22" s="8" t="s">
        <v>3</v>
      </c>
      <c r="AE22" s="3">
        <v>1266764</v>
      </c>
      <c r="AF22" s="3">
        <v>377040</v>
      </c>
      <c r="AG22" s="3">
        <v>442584</v>
      </c>
      <c r="AH22" s="3">
        <v>155416</v>
      </c>
      <c r="AI22" s="1">
        <v>347229</v>
      </c>
      <c r="AJ22" s="1">
        <v>513470</v>
      </c>
      <c r="AK22" s="1">
        <v>410000</v>
      </c>
      <c r="AL22" s="1">
        <v>123897</v>
      </c>
      <c r="AM22" s="2" t="s">
        <v>3</v>
      </c>
      <c r="AN22" s="64" t="s">
        <v>3</v>
      </c>
      <c r="AO22" s="64" t="s">
        <v>3</v>
      </c>
      <c r="AP22" s="64" t="s">
        <v>3</v>
      </c>
      <c r="AQ22" s="64" t="s">
        <v>3</v>
      </c>
      <c r="AR22" s="64" t="s">
        <v>3</v>
      </c>
      <c r="AS22" s="42">
        <f>7498</f>
        <v>7498</v>
      </c>
      <c r="AT22" s="42">
        <v>7076</v>
      </c>
      <c r="AU22" s="42">
        <v>7565</v>
      </c>
      <c r="AV22" s="42">
        <v>61025</v>
      </c>
      <c r="AW22" s="53">
        <v>171569</v>
      </c>
      <c r="AX22" s="53" t="s">
        <v>3</v>
      </c>
      <c r="AY22" s="57">
        <v>751937</v>
      </c>
      <c r="AZ22" s="57">
        <v>235905</v>
      </c>
      <c r="BA22" s="121" t="s">
        <v>3</v>
      </c>
      <c r="BB22" s="4" t="s">
        <v>3</v>
      </c>
      <c r="BC22" s="38" t="s">
        <v>3</v>
      </c>
      <c r="BD22" s="3">
        <v>297176</v>
      </c>
    </row>
    <row r="23" spans="1:56" ht="15" customHeight="1" x14ac:dyDescent="0.25">
      <c r="A23" s="38" t="s">
        <v>75</v>
      </c>
      <c r="B23" s="38" t="s">
        <v>138</v>
      </c>
      <c r="C23" s="38" t="s">
        <v>163</v>
      </c>
      <c r="D23" s="48">
        <v>300.20167900000001</v>
      </c>
      <c r="E23" s="92">
        <f t="shared" si="0"/>
        <v>66.666666666666657</v>
      </c>
      <c r="F23" s="12">
        <v>6389798</v>
      </c>
      <c r="G23" s="12">
        <v>6177439</v>
      </c>
      <c r="H23" s="12">
        <v>8275799</v>
      </c>
      <c r="I23" s="11" t="s">
        <v>3</v>
      </c>
      <c r="J23" s="11" t="s">
        <v>3</v>
      </c>
      <c r="K23" s="114">
        <v>136871</v>
      </c>
      <c r="L23" s="5">
        <v>6679911</v>
      </c>
      <c r="M23" s="5">
        <v>3076747</v>
      </c>
      <c r="N23" s="5">
        <v>3936887</v>
      </c>
      <c r="O23" s="5">
        <v>4272946</v>
      </c>
      <c r="P23" s="5">
        <v>5271383</v>
      </c>
      <c r="Q23" s="5">
        <v>2742903</v>
      </c>
      <c r="R23" s="5">
        <v>2267024</v>
      </c>
      <c r="S23" s="5">
        <v>9837148</v>
      </c>
      <c r="T23" s="5">
        <v>42445872</v>
      </c>
      <c r="U23" s="5">
        <v>14117305</v>
      </c>
      <c r="V23" s="5">
        <v>13778995</v>
      </c>
      <c r="W23" s="13">
        <v>114441968</v>
      </c>
      <c r="X23" s="13">
        <v>115458952</v>
      </c>
      <c r="Y23" s="14" t="s">
        <v>3</v>
      </c>
      <c r="Z23" s="40">
        <v>397610976</v>
      </c>
      <c r="AA23" s="6">
        <v>176670688</v>
      </c>
      <c r="AB23" s="6">
        <v>1904339</v>
      </c>
      <c r="AC23" s="8">
        <v>280316960</v>
      </c>
      <c r="AD23" s="8" t="s">
        <v>3</v>
      </c>
      <c r="AE23" s="3">
        <v>1312976</v>
      </c>
      <c r="AF23" s="3">
        <v>383960</v>
      </c>
      <c r="AG23" s="3">
        <v>607996</v>
      </c>
      <c r="AH23" s="3">
        <v>252808</v>
      </c>
      <c r="AI23" s="1">
        <v>117950</v>
      </c>
      <c r="AJ23" s="1">
        <v>26200</v>
      </c>
      <c r="AK23" s="1">
        <v>141892</v>
      </c>
      <c r="AL23" s="1">
        <v>49190</v>
      </c>
      <c r="AM23" s="2">
        <v>1175</v>
      </c>
      <c r="AN23" s="64" t="s">
        <v>3</v>
      </c>
      <c r="AO23" s="64" t="s">
        <v>3</v>
      </c>
      <c r="AP23" s="64" t="s">
        <v>3</v>
      </c>
      <c r="AQ23" s="64" t="s">
        <v>3</v>
      </c>
      <c r="AR23" s="64" t="s">
        <v>3</v>
      </c>
      <c r="AS23" s="42">
        <v>8139</v>
      </c>
      <c r="AT23" s="42">
        <v>4561</v>
      </c>
      <c r="AU23" s="42">
        <v>4946</v>
      </c>
      <c r="AV23" s="42">
        <v>42134</v>
      </c>
      <c r="AW23" s="53">
        <v>149795</v>
      </c>
      <c r="AX23" s="53" t="s">
        <v>3</v>
      </c>
      <c r="AY23" s="57">
        <v>1492887</v>
      </c>
      <c r="AZ23" s="57" t="s">
        <v>3</v>
      </c>
      <c r="BA23" s="121" t="s">
        <v>3</v>
      </c>
      <c r="BB23" s="4" t="s">
        <v>3</v>
      </c>
      <c r="BC23" s="38" t="s">
        <v>3</v>
      </c>
      <c r="BD23" s="3">
        <v>494112</v>
      </c>
    </row>
    <row r="24" spans="1:56" ht="15" customHeight="1" x14ac:dyDescent="0.25">
      <c r="A24" s="38" t="s">
        <v>76</v>
      </c>
      <c r="B24" s="38" t="s">
        <v>138</v>
      </c>
      <c r="C24" s="38" t="s">
        <v>164</v>
      </c>
      <c r="D24" s="48">
        <v>344.22789299999999</v>
      </c>
      <c r="E24" s="92">
        <f t="shared" si="0"/>
        <v>70.833333333333343</v>
      </c>
      <c r="F24" s="12">
        <v>37424</v>
      </c>
      <c r="G24" s="12">
        <v>51284</v>
      </c>
      <c r="H24" s="12">
        <v>22117</v>
      </c>
      <c r="I24" s="11" t="s">
        <v>3</v>
      </c>
      <c r="J24" s="11" t="s">
        <v>3</v>
      </c>
      <c r="K24" s="114">
        <v>271944</v>
      </c>
      <c r="L24" s="5">
        <v>278373</v>
      </c>
      <c r="M24" s="5">
        <v>2765628</v>
      </c>
      <c r="N24" s="5">
        <v>3768868</v>
      </c>
      <c r="O24" s="5">
        <v>4060013</v>
      </c>
      <c r="P24" s="5">
        <v>5104083</v>
      </c>
      <c r="Q24" s="5">
        <v>3090837</v>
      </c>
      <c r="R24" s="5">
        <v>2263595</v>
      </c>
      <c r="S24" s="5">
        <v>8921036</v>
      </c>
      <c r="T24" s="5">
        <v>52385044</v>
      </c>
      <c r="U24" s="5">
        <v>17433046</v>
      </c>
      <c r="V24" s="4">
        <v>15649595</v>
      </c>
      <c r="W24" s="13">
        <v>56946116</v>
      </c>
      <c r="X24" s="13">
        <v>66125596</v>
      </c>
      <c r="Y24" s="14">
        <v>917643</v>
      </c>
      <c r="Z24" s="40">
        <v>191163072</v>
      </c>
      <c r="AA24" s="6">
        <v>87781472</v>
      </c>
      <c r="AB24" s="6">
        <v>2550415</v>
      </c>
      <c r="AC24" s="8">
        <v>314421760</v>
      </c>
      <c r="AD24" s="8" t="s">
        <v>3</v>
      </c>
      <c r="AE24" s="3">
        <v>1262760</v>
      </c>
      <c r="AF24" s="3">
        <v>517964</v>
      </c>
      <c r="AG24" s="3">
        <v>757320</v>
      </c>
      <c r="AH24" s="3">
        <v>273748</v>
      </c>
      <c r="AI24" s="1">
        <v>240055</v>
      </c>
      <c r="AJ24" s="1">
        <v>80139</v>
      </c>
      <c r="AK24" s="1">
        <v>294929</v>
      </c>
      <c r="AL24" s="1">
        <v>148488</v>
      </c>
      <c r="AM24" s="2">
        <v>3041</v>
      </c>
      <c r="AN24" s="64" t="s">
        <v>3</v>
      </c>
      <c r="AO24" s="64" t="s">
        <v>3</v>
      </c>
      <c r="AP24" s="64" t="s">
        <v>3</v>
      </c>
      <c r="AQ24" s="64" t="s">
        <v>3</v>
      </c>
      <c r="AR24" s="64" t="s">
        <v>3</v>
      </c>
      <c r="AS24" s="42">
        <v>16285</v>
      </c>
      <c r="AT24" s="42">
        <f>10923</f>
        <v>10923</v>
      </c>
      <c r="AU24" s="42">
        <v>8095</v>
      </c>
      <c r="AV24" s="42">
        <v>98161</v>
      </c>
      <c r="AW24" s="53">
        <v>293201</v>
      </c>
      <c r="AX24" s="53" t="s">
        <v>3</v>
      </c>
      <c r="AY24" s="57">
        <v>2109764</v>
      </c>
      <c r="AZ24" s="57">
        <v>242996</v>
      </c>
      <c r="BA24" s="121" t="s">
        <v>3</v>
      </c>
      <c r="BB24" s="5">
        <v>8770834.841</v>
      </c>
      <c r="BC24" s="38" t="s">
        <v>3</v>
      </c>
      <c r="BD24" s="3">
        <v>605020</v>
      </c>
    </row>
    <row r="25" spans="1:56" ht="15" customHeight="1" x14ac:dyDescent="0.25">
      <c r="A25" s="38" t="s">
        <v>77</v>
      </c>
      <c r="B25" s="38" t="s">
        <v>138</v>
      </c>
      <c r="C25" s="38" t="s">
        <v>165</v>
      </c>
      <c r="D25" s="48">
        <v>388.25410799999997</v>
      </c>
      <c r="E25" s="92">
        <f t="shared" si="0"/>
        <v>70.833333333333343</v>
      </c>
      <c r="F25" s="12">
        <v>88484</v>
      </c>
      <c r="G25" s="12">
        <v>128118</v>
      </c>
      <c r="H25" s="12">
        <v>74518</v>
      </c>
      <c r="I25" s="11" t="s">
        <v>3</v>
      </c>
      <c r="J25" s="11" t="s">
        <v>3</v>
      </c>
      <c r="K25" s="114">
        <v>337234</v>
      </c>
      <c r="L25" s="4">
        <v>198942</v>
      </c>
      <c r="M25" s="5">
        <v>2407570</v>
      </c>
      <c r="N25" s="4">
        <v>3480610</v>
      </c>
      <c r="O25" s="5">
        <v>3146211</v>
      </c>
      <c r="P25" s="5">
        <v>4913022</v>
      </c>
      <c r="Q25" s="5">
        <v>2741000</v>
      </c>
      <c r="R25" s="5">
        <v>2347309</v>
      </c>
      <c r="S25" s="5">
        <v>7980314</v>
      </c>
      <c r="T25" s="5">
        <v>61295940</v>
      </c>
      <c r="U25" s="5">
        <v>18105022</v>
      </c>
      <c r="V25" s="5">
        <v>13245651</v>
      </c>
      <c r="W25" s="13">
        <v>55674432</v>
      </c>
      <c r="X25" s="13">
        <v>66055312</v>
      </c>
      <c r="Y25" s="14">
        <v>914922</v>
      </c>
      <c r="Z25" s="40">
        <v>200300976</v>
      </c>
      <c r="AA25" s="6">
        <v>85655552</v>
      </c>
      <c r="AB25" s="6">
        <v>2659867</v>
      </c>
      <c r="AC25" s="8">
        <v>338459808</v>
      </c>
      <c r="AD25" s="8">
        <v>35976</v>
      </c>
      <c r="AE25" s="3">
        <v>1264800</v>
      </c>
      <c r="AF25" s="3">
        <v>427072</v>
      </c>
      <c r="AG25" s="3">
        <v>660440</v>
      </c>
      <c r="AH25" s="3">
        <v>219596</v>
      </c>
      <c r="AI25" s="1">
        <v>280346</v>
      </c>
      <c r="AJ25" s="1">
        <v>92271</v>
      </c>
      <c r="AK25" s="1">
        <v>332324</v>
      </c>
      <c r="AL25" s="1">
        <v>178966</v>
      </c>
      <c r="AM25" s="2">
        <v>4695</v>
      </c>
      <c r="AN25" s="64" t="s">
        <v>3</v>
      </c>
      <c r="AO25" s="64" t="s">
        <v>3</v>
      </c>
      <c r="AP25" s="64" t="s">
        <v>3</v>
      </c>
      <c r="AQ25" s="64" t="s">
        <v>3</v>
      </c>
      <c r="AR25" s="64" t="s">
        <v>3</v>
      </c>
      <c r="AS25" s="42">
        <v>18597</v>
      </c>
      <c r="AT25" s="42">
        <v>11818</v>
      </c>
      <c r="AU25" s="42">
        <v>8725</v>
      </c>
      <c r="AV25" s="42">
        <v>97142</v>
      </c>
      <c r="AW25" s="53">
        <v>395279</v>
      </c>
      <c r="AX25" s="53" t="s">
        <v>3</v>
      </c>
      <c r="AY25" s="57">
        <v>2857238</v>
      </c>
      <c r="AZ25" s="57" t="s">
        <v>3</v>
      </c>
      <c r="BA25" s="121" t="s">
        <v>3</v>
      </c>
      <c r="BB25" s="5">
        <v>4307511.3640000001</v>
      </c>
      <c r="BC25" s="38" t="s">
        <v>3</v>
      </c>
      <c r="BD25" s="3">
        <v>595620</v>
      </c>
    </row>
    <row r="26" spans="1:56" ht="15" customHeight="1" x14ac:dyDescent="0.25">
      <c r="A26" s="38" t="s">
        <v>78</v>
      </c>
      <c r="B26" s="38" t="s">
        <v>138</v>
      </c>
      <c r="C26" s="38" t="s">
        <v>166</v>
      </c>
      <c r="D26" s="48">
        <v>432.28032300000001</v>
      </c>
      <c r="E26" s="92">
        <f t="shared" si="0"/>
        <v>77.083333333333343</v>
      </c>
      <c r="F26" s="12">
        <v>135216</v>
      </c>
      <c r="G26" s="12">
        <v>216321</v>
      </c>
      <c r="H26" s="12">
        <v>146047</v>
      </c>
      <c r="I26" s="11" t="s">
        <v>3</v>
      </c>
      <c r="J26" s="11" t="s">
        <v>3</v>
      </c>
      <c r="K26" s="114">
        <v>379112</v>
      </c>
      <c r="L26" s="4">
        <v>123366</v>
      </c>
      <c r="M26" s="5">
        <v>2189183</v>
      </c>
      <c r="N26" s="4">
        <v>2574722</v>
      </c>
      <c r="O26" s="4">
        <v>2592593</v>
      </c>
      <c r="P26" s="4">
        <v>3733385</v>
      </c>
      <c r="Q26" s="4">
        <v>1969754</v>
      </c>
      <c r="R26" s="5">
        <v>2088940</v>
      </c>
      <c r="S26" s="5">
        <v>5989747</v>
      </c>
      <c r="T26" s="5">
        <v>62562888</v>
      </c>
      <c r="U26" s="5">
        <v>17336018</v>
      </c>
      <c r="V26" s="5">
        <v>9592054</v>
      </c>
      <c r="W26" s="13">
        <v>44330868</v>
      </c>
      <c r="X26" s="13">
        <v>54130808</v>
      </c>
      <c r="Y26" s="14">
        <v>678652</v>
      </c>
      <c r="Z26" s="40">
        <v>172265120</v>
      </c>
      <c r="AA26" s="6">
        <v>72673040</v>
      </c>
      <c r="AB26" s="6">
        <v>2306050</v>
      </c>
      <c r="AC26" s="8">
        <v>251866112</v>
      </c>
      <c r="AD26" s="8">
        <v>41936</v>
      </c>
      <c r="AE26" s="3">
        <v>1262760</v>
      </c>
      <c r="AF26" s="3">
        <v>342604</v>
      </c>
      <c r="AG26" s="3">
        <v>597292</v>
      </c>
      <c r="AH26" s="3">
        <v>217844</v>
      </c>
      <c r="AI26" s="1">
        <v>288322</v>
      </c>
      <c r="AJ26" s="1">
        <v>110697</v>
      </c>
      <c r="AK26" s="1">
        <v>368639</v>
      </c>
      <c r="AL26" s="1">
        <v>180285</v>
      </c>
      <c r="AM26" s="2">
        <v>6245</v>
      </c>
      <c r="AN26" s="67">
        <v>771369</v>
      </c>
      <c r="AO26" s="67">
        <v>4612</v>
      </c>
      <c r="AP26" s="68" t="s">
        <v>3</v>
      </c>
      <c r="AQ26" s="67" t="s">
        <v>3</v>
      </c>
      <c r="AR26" s="67">
        <v>4077</v>
      </c>
      <c r="AS26" s="42">
        <v>13924</v>
      </c>
      <c r="AT26" s="42">
        <v>9951</v>
      </c>
      <c r="AU26" s="42">
        <f>7452</f>
        <v>7452</v>
      </c>
      <c r="AV26" s="42">
        <v>67065</v>
      </c>
      <c r="AW26" s="53">
        <v>431180</v>
      </c>
      <c r="AX26" s="53" t="s">
        <v>3</v>
      </c>
      <c r="AY26" s="57">
        <v>3545527</v>
      </c>
      <c r="AZ26" s="57" t="s">
        <v>3</v>
      </c>
      <c r="BA26" s="121" t="s">
        <v>3</v>
      </c>
      <c r="BB26" s="5">
        <v>2622473.7400000002</v>
      </c>
      <c r="BC26" s="38" t="s">
        <v>3</v>
      </c>
      <c r="BD26" s="3">
        <v>430328</v>
      </c>
    </row>
    <row r="27" spans="1:56" ht="15" customHeight="1" x14ac:dyDescent="0.25">
      <c r="A27" s="38" t="s">
        <v>79</v>
      </c>
      <c r="B27" s="38" t="s">
        <v>138</v>
      </c>
      <c r="C27" s="38" t="s">
        <v>167</v>
      </c>
      <c r="D27" s="48">
        <v>476.30653799999999</v>
      </c>
      <c r="E27" s="92">
        <f t="shared" si="0"/>
        <v>75</v>
      </c>
      <c r="F27" s="12">
        <v>146817</v>
      </c>
      <c r="G27" s="12">
        <v>244430</v>
      </c>
      <c r="H27" s="12">
        <v>205995</v>
      </c>
      <c r="I27" s="11" t="s">
        <v>3</v>
      </c>
      <c r="J27" s="11" t="s">
        <v>3</v>
      </c>
      <c r="K27" s="114">
        <v>235681</v>
      </c>
      <c r="L27" s="4">
        <v>106047</v>
      </c>
      <c r="M27" s="5">
        <v>1504308</v>
      </c>
      <c r="N27" s="4">
        <v>2048352</v>
      </c>
      <c r="O27" s="5">
        <v>1841353</v>
      </c>
      <c r="P27" s="4">
        <v>3210485</v>
      </c>
      <c r="Q27" s="4">
        <v>1745068</v>
      </c>
      <c r="R27" s="4">
        <v>1592982</v>
      </c>
      <c r="S27" s="5">
        <v>5731806</v>
      </c>
      <c r="T27" s="5">
        <v>59527680</v>
      </c>
      <c r="U27" s="5">
        <v>14056859</v>
      </c>
      <c r="V27" s="5">
        <v>6426932</v>
      </c>
      <c r="W27" s="13">
        <v>34514108</v>
      </c>
      <c r="X27" s="13">
        <v>42100128</v>
      </c>
      <c r="Y27" s="14">
        <v>643224</v>
      </c>
      <c r="Z27" s="40">
        <v>124504096</v>
      </c>
      <c r="AA27" s="6">
        <v>53010920</v>
      </c>
      <c r="AB27" s="6">
        <v>1576020</v>
      </c>
      <c r="AC27" s="8">
        <v>207456256</v>
      </c>
      <c r="AD27" s="8">
        <v>27462</v>
      </c>
      <c r="AE27" s="3">
        <v>1262760</v>
      </c>
      <c r="AF27" s="3">
        <v>299364</v>
      </c>
      <c r="AG27" s="3">
        <v>467192</v>
      </c>
      <c r="AH27" s="3">
        <v>175408</v>
      </c>
      <c r="AI27" s="1">
        <v>275785</v>
      </c>
      <c r="AJ27" s="1">
        <v>91218</v>
      </c>
      <c r="AK27" s="1">
        <v>348407</v>
      </c>
      <c r="AL27" s="1">
        <v>161451</v>
      </c>
      <c r="AM27" s="2">
        <v>4852</v>
      </c>
      <c r="AN27" s="67">
        <v>729721</v>
      </c>
      <c r="AO27" s="68" t="s">
        <v>3</v>
      </c>
      <c r="AP27" s="68" t="s">
        <v>3</v>
      </c>
      <c r="AQ27" s="68" t="s">
        <v>3</v>
      </c>
      <c r="AR27" s="67">
        <v>1408</v>
      </c>
      <c r="AS27" s="42">
        <v>11496</v>
      </c>
      <c r="AT27" s="42">
        <v>7899</v>
      </c>
      <c r="AU27" s="42">
        <v>4845</v>
      </c>
      <c r="AV27" s="42">
        <v>43288</v>
      </c>
      <c r="AW27" s="53">
        <v>340305</v>
      </c>
      <c r="AX27" s="53" t="s">
        <v>3</v>
      </c>
      <c r="AY27" s="57">
        <v>3490391</v>
      </c>
      <c r="AZ27" s="57" t="s">
        <v>3</v>
      </c>
      <c r="BA27" s="121" t="s">
        <v>3</v>
      </c>
      <c r="BB27" s="5">
        <v>2203342.62</v>
      </c>
      <c r="BC27" s="38" t="s">
        <v>3</v>
      </c>
      <c r="BD27" s="3">
        <v>362200</v>
      </c>
    </row>
    <row r="28" spans="1:56" ht="15" customHeight="1" x14ac:dyDescent="0.25">
      <c r="A28" s="38" t="s">
        <v>80</v>
      </c>
      <c r="B28" s="38" t="s">
        <v>138</v>
      </c>
      <c r="C28" s="38" t="s">
        <v>168</v>
      </c>
      <c r="D28" s="48">
        <v>520.33275200000003</v>
      </c>
      <c r="E28" s="92">
        <f t="shared" si="0"/>
        <v>75</v>
      </c>
      <c r="F28" s="12">
        <v>202646</v>
      </c>
      <c r="G28" s="12">
        <v>249954</v>
      </c>
      <c r="H28" s="12">
        <v>234495</v>
      </c>
      <c r="I28" s="11" t="s">
        <v>3</v>
      </c>
      <c r="J28" s="11" t="s">
        <v>3</v>
      </c>
      <c r="K28" s="114">
        <v>160793</v>
      </c>
      <c r="L28" s="4">
        <v>81991</v>
      </c>
      <c r="M28" s="5">
        <v>1128360</v>
      </c>
      <c r="N28" s="4">
        <v>1549302</v>
      </c>
      <c r="O28" s="5">
        <v>1346453</v>
      </c>
      <c r="P28" s="5">
        <v>2579069</v>
      </c>
      <c r="Q28" s="4">
        <v>1327600</v>
      </c>
      <c r="R28" s="4">
        <v>1115455</v>
      </c>
      <c r="S28" s="5">
        <v>4927173</v>
      </c>
      <c r="T28" s="5">
        <v>54423904</v>
      </c>
      <c r="U28" s="5">
        <v>13543140</v>
      </c>
      <c r="V28" s="5">
        <v>4186135</v>
      </c>
      <c r="W28" s="13">
        <v>24180540</v>
      </c>
      <c r="X28" s="13">
        <v>30697426</v>
      </c>
      <c r="Y28" s="14">
        <v>197562</v>
      </c>
      <c r="Z28" s="40">
        <v>107874608</v>
      </c>
      <c r="AA28" s="6">
        <v>43571436</v>
      </c>
      <c r="AB28" s="6">
        <v>1019085</v>
      </c>
      <c r="AC28" s="8">
        <v>146768592</v>
      </c>
      <c r="AD28" s="8">
        <v>24608</v>
      </c>
      <c r="AE28" s="3">
        <v>1264800</v>
      </c>
      <c r="AF28" s="3">
        <v>239336</v>
      </c>
      <c r="AG28" s="3">
        <v>388284</v>
      </c>
      <c r="AH28" s="3">
        <v>132332</v>
      </c>
      <c r="AI28" s="1">
        <v>195264</v>
      </c>
      <c r="AJ28" s="1">
        <v>72678</v>
      </c>
      <c r="AK28" s="1">
        <v>261312</v>
      </c>
      <c r="AL28" s="1">
        <v>154099</v>
      </c>
      <c r="AM28" s="2">
        <v>3892</v>
      </c>
      <c r="AN28" s="67">
        <v>677028</v>
      </c>
      <c r="AO28" s="68" t="s">
        <v>3</v>
      </c>
      <c r="AP28" s="68" t="s">
        <v>3</v>
      </c>
      <c r="AQ28" s="68" t="s">
        <v>3</v>
      </c>
      <c r="AR28" s="67">
        <v>1136</v>
      </c>
      <c r="AS28" s="42">
        <v>7303</v>
      </c>
      <c r="AT28" s="42">
        <v>3517</v>
      </c>
      <c r="AU28" s="42">
        <v>3150</v>
      </c>
      <c r="AV28" s="42">
        <v>25811</v>
      </c>
      <c r="AW28" s="53">
        <v>319774</v>
      </c>
      <c r="AX28" s="53" t="s">
        <v>3</v>
      </c>
      <c r="AY28" s="57">
        <v>2819769</v>
      </c>
      <c r="AZ28" s="57" t="s">
        <v>3</v>
      </c>
      <c r="BA28" s="121" t="s">
        <v>3</v>
      </c>
      <c r="BB28" s="5">
        <v>2300242.0099999998</v>
      </c>
      <c r="BC28" s="38" t="s">
        <v>3</v>
      </c>
      <c r="BD28" s="3">
        <v>357992</v>
      </c>
    </row>
    <row r="29" spans="1:56" ht="15" customHeight="1" x14ac:dyDescent="0.25">
      <c r="A29" s="38" t="s">
        <v>81</v>
      </c>
      <c r="B29" s="38" t="s">
        <v>138</v>
      </c>
      <c r="C29" s="38" t="s">
        <v>169</v>
      </c>
      <c r="D29" s="48">
        <v>564.35896700000001</v>
      </c>
      <c r="E29" s="92">
        <f t="shared" si="0"/>
        <v>75</v>
      </c>
      <c r="F29" s="12">
        <v>147119</v>
      </c>
      <c r="G29" s="12">
        <v>265921</v>
      </c>
      <c r="H29" s="12">
        <v>207178</v>
      </c>
      <c r="I29" s="11" t="s">
        <v>3</v>
      </c>
      <c r="J29" s="11" t="s">
        <v>3</v>
      </c>
      <c r="K29" s="114">
        <v>134390</v>
      </c>
      <c r="L29" s="4">
        <v>59032</v>
      </c>
      <c r="M29" s="5">
        <v>885467</v>
      </c>
      <c r="N29" s="4">
        <v>1001765</v>
      </c>
      <c r="O29" s="4">
        <v>1018481</v>
      </c>
      <c r="P29" s="4">
        <v>1956374</v>
      </c>
      <c r="Q29" s="4">
        <v>906931</v>
      </c>
      <c r="R29" s="4">
        <v>649592</v>
      </c>
      <c r="S29" s="5">
        <v>3897483</v>
      </c>
      <c r="T29" s="5">
        <v>49445308</v>
      </c>
      <c r="U29" s="4">
        <v>11613740</v>
      </c>
      <c r="V29" s="5">
        <v>2662511</v>
      </c>
      <c r="W29" s="13">
        <v>16334689</v>
      </c>
      <c r="X29" s="13">
        <v>20946114</v>
      </c>
      <c r="Y29" s="14">
        <v>71210</v>
      </c>
      <c r="Z29" s="40">
        <v>76318208</v>
      </c>
      <c r="AA29" s="6">
        <v>30833910</v>
      </c>
      <c r="AB29" s="6">
        <v>487694</v>
      </c>
      <c r="AC29" s="8">
        <v>91685112</v>
      </c>
      <c r="AD29" s="8">
        <v>19639</v>
      </c>
      <c r="AE29" s="3">
        <v>1262760</v>
      </c>
      <c r="AF29" s="3">
        <v>191564</v>
      </c>
      <c r="AG29" s="3">
        <v>304640</v>
      </c>
      <c r="AH29" s="3">
        <v>104340</v>
      </c>
      <c r="AI29" s="1">
        <v>155150</v>
      </c>
      <c r="AJ29" s="1">
        <v>51132</v>
      </c>
      <c r="AK29" s="1">
        <v>200686</v>
      </c>
      <c r="AL29" s="1">
        <v>134580</v>
      </c>
      <c r="AM29" s="2">
        <v>2590</v>
      </c>
      <c r="AN29" s="67">
        <v>669331</v>
      </c>
      <c r="AO29" s="68" t="s">
        <v>3</v>
      </c>
      <c r="AP29" s="68" t="s">
        <v>3</v>
      </c>
      <c r="AQ29" s="68" t="s">
        <v>3</v>
      </c>
      <c r="AR29" s="68" t="s">
        <v>3</v>
      </c>
      <c r="AS29" s="42">
        <v>6224</v>
      </c>
      <c r="AT29" s="42">
        <v>3375</v>
      </c>
      <c r="AU29" s="42">
        <v>2660</v>
      </c>
      <c r="AV29" s="42">
        <v>16871</v>
      </c>
      <c r="AW29" s="53">
        <v>244202</v>
      </c>
      <c r="AX29" s="53" t="s">
        <v>3</v>
      </c>
      <c r="AY29" s="57">
        <v>2162299</v>
      </c>
      <c r="AZ29" s="57">
        <v>164307</v>
      </c>
      <c r="BA29" s="121" t="s">
        <v>3</v>
      </c>
      <c r="BB29" s="5">
        <v>1623967.652</v>
      </c>
      <c r="BC29" s="38" t="s">
        <v>3</v>
      </c>
      <c r="BD29" s="3">
        <v>279420</v>
      </c>
    </row>
    <row r="30" spans="1:56" ht="15" customHeight="1" x14ac:dyDescent="0.25">
      <c r="A30" s="38" t="s">
        <v>82</v>
      </c>
      <c r="B30" s="38" t="s">
        <v>138</v>
      </c>
      <c r="C30" s="38" t="s">
        <v>170</v>
      </c>
      <c r="D30" s="48">
        <v>608.38518199999999</v>
      </c>
      <c r="E30" s="92">
        <f t="shared" si="0"/>
        <v>75</v>
      </c>
      <c r="F30" s="12">
        <v>97975</v>
      </c>
      <c r="G30" s="12">
        <v>141803</v>
      </c>
      <c r="H30" s="12">
        <v>108342</v>
      </c>
      <c r="I30" s="11" t="s">
        <v>3</v>
      </c>
      <c r="J30" s="11" t="s">
        <v>3</v>
      </c>
      <c r="K30" s="114">
        <v>78583</v>
      </c>
      <c r="L30" s="4">
        <v>32695</v>
      </c>
      <c r="M30" s="4">
        <v>571923</v>
      </c>
      <c r="N30" s="4">
        <v>557702</v>
      </c>
      <c r="O30" s="5">
        <v>706797</v>
      </c>
      <c r="P30" s="4">
        <v>1288482</v>
      </c>
      <c r="Q30" s="5">
        <v>659243</v>
      </c>
      <c r="R30" s="5">
        <v>324566</v>
      </c>
      <c r="S30" s="5">
        <v>2939523</v>
      </c>
      <c r="T30" s="5">
        <v>40455064</v>
      </c>
      <c r="U30" s="5">
        <v>9037897</v>
      </c>
      <c r="V30" s="5">
        <v>1374581</v>
      </c>
      <c r="W30" s="13">
        <v>10475142</v>
      </c>
      <c r="X30" s="13">
        <v>11522558</v>
      </c>
      <c r="Y30" s="14">
        <v>107727</v>
      </c>
      <c r="Z30" s="40">
        <v>57178472</v>
      </c>
      <c r="AA30" s="6">
        <v>21910292</v>
      </c>
      <c r="AB30" s="6">
        <v>149226</v>
      </c>
      <c r="AC30" s="8">
        <v>56195468</v>
      </c>
      <c r="AD30" s="8" t="s">
        <v>3</v>
      </c>
      <c r="AE30" s="3">
        <v>1262760</v>
      </c>
      <c r="AF30" s="3">
        <v>183484</v>
      </c>
      <c r="AG30" s="3">
        <v>211088</v>
      </c>
      <c r="AH30" s="3">
        <v>85956</v>
      </c>
      <c r="AI30" s="1">
        <v>111423</v>
      </c>
      <c r="AJ30" s="1">
        <v>26804</v>
      </c>
      <c r="AK30" s="1">
        <v>169985</v>
      </c>
      <c r="AL30" s="1">
        <v>122717</v>
      </c>
      <c r="AM30" s="2">
        <v>1804</v>
      </c>
      <c r="AN30" s="67">
        <v>573091</v>
      </c>
      <c r="AO30" s="67">
        <v>683</v>
      </c>
      <c r="AP30" s="67">
        <v>4417</v>
      </c>
      <c r="AQ30" s="67">
        <v>4030</v>
      </c>
      <c r="AR30" s="67">
        <v>4215</v>
      </c>
      <c r="AS30" s="42">
        <v>3760</v>
      </c>
      <c r="AT30" s="42">
        <v>2488</v>
      </c>
      <c r="AU30" s="42">
        <v>1657</v>
      </c>
      <c r="AV30" s="42">
        <v>10380</v>
      </c>
      <c r="AW30" s="53" t="s">
        <v>3</v>
      </c>
      <c r="AX30" s="53" t="s">
        <v>3</v>
      </c>
      <c r="AY30" s="57" t="s">
        <v>3</v>
      </c>
      <c r="AZ30" s="57" t="s">
        <v>3</v>
      </c>
      <c r="BA30" s="121" t="s">
        <v>3</v>
      </c>
      <c r="BB30" s="5">
        <v>1216931.821</v>
      </c>
      <c r="BC30" s="38" t="s">
        <v>3</v>
      </c>
      <c r="BD30" s="3">
        <v>238180</v>
      </c>
    </row>
    <row r="31" spans="1:56" ht="15" customHeight="1" x14ac:dyDescent="0.25">
      <c r="A31" s="38" t="s">
        <v>83</v>
      </c>
      <c r="B31" s="38" t="s">
        <v>138</v>
      </c>
      <c r="C31" s="38" t="s">
        <v>171</v>
      </c>
      <c r="D31" s="48">
        <v>652.41139699999997</v>
      </c>
      <c r="E31" s="92">
        <f t="shared" si="0"/>
        <v>66.666666666666657</v>
      </c>
      <c r="F31" s="12">
        <v>65371</v>
      </c>
      <c r="G31" s="12">
        <v>114827</v>
      </c>
      <c r="H31" s="12">
        <v>73770</v>
      </c>
      <c r="I31" s="11" t="s">
        <v>3</v>
      </c>
      <c r="J31" s="11" t="s">
        <v>3</v>
      </c>
      <c r="K31" s="114">
        <v>58268</v>
      </c>
      <c r="L31" s="4">
        <v>16938</v>
      </c>
      <c r="M31" s="5">
        <v>257986</v>
      </c>
      <c r="N31" s="4">
        <v>268896</v>
      </c>
      <c r="O31" s="5">
        <v>364120</v>
      </c>
      <c r="P31" s="5">
        <v>803733</v>
      </c>
      <c r="Q31" s="5">
        <v>336360</v>
      </c>
      <c r="R31" s="5">
        <v>143302</v>
      </c>
      <c r="S31" s="5">
        <v>1997157</v>
      </c>
      <c r="T31" s="5">
        <v>27092806</v>
      </c>
      <c r="U31" s="5">
        <v>6587481</v>
      </c>
      <c r="V31" s="4">
        <v>716969</v>
      </c>
      <c r="W31" s="14">
        <v>7537493</v>
      </c>
      <c r="X31" s="14">
        <v>7242066</v>
      </c>
      <c r="Y31" s="14" t="s">
        <v>3</v>
      </c>
      <c r="Z31" s="39">
        <v>47327556</v>
      </c>
      <c r="AA31" s="7">
        <v>16272379</v>
      </c>
      <c r="AB31" s="7">
        <v>68752</v>
      </c>
      <c r="AC31" s="9">
        <v>31787122</v>
      </c>
      <c r="AD31" s="8" t="s">
        <v>3</v>
      </c>
      <c r="AE31" s="3">
        <v>1259436</v>
      </c>
      <c r="AF31" s="3">
        <v>193156</v>
      </c>
      <c r="AG31" s="3">
        <v>155536</v>
      </c>
      <c r="AH31" s="3">
        <v>65220</v>
      </c>
      <c r="AI31" s="1">
        <v>77143</v>
      </c>
      <c r="AJ31" s="1">
        <v>21943</v>
      </c>
      <c r="AK31" s="1">
        <v>111460</v>
      </c>
      <c r="AL31" s="1">
        <v>78911</v>
      </c>
      <c r="AM31" s="2">
        <v>1051</v>
      </c>
      <c r="AN31" s="67">
        <v>429925</v>
      </c>
      <c r="AO31" s="68" t="s">
        <v>3</v>
      </c>
      <c r="AP31" s="68" t="s">
        <v>3</v>
      </c>
      <c r="AQ31" s="68" t="s">
        <v>3</v>
      </c>
      <c r="AR31" s="68" t="s">
        <v>3</v>
      </c>
      <c r="AS31" s="42">
        <v>2956</v>
      </c>
      <c r="AT31" s="42">
        <v>1767</v>
      </c>
      <c r="AU31" s="42">
        <v>1074</v>
      </c>
      <c r="AV31" s="42">
        <v>6324</v>
      </c>
      <c r="AW31" s="53">
        <v>103014</v>
      </c>
      <c r="AX31" s="53" t="s">
        <v>3</v>
      </c>
      <c r="AY31" s="57" t="s">
        <v>3</v>
      </c>
      <c r="AZ31" s="57" t="s">
        <v>3</v>
      </c>
      <c r="BA31" s="121" t="s">
        <v>3</v>
      </c>
      <c r="BB31" s="4" t="s">
        <v>3</v>
      </c>
      <c r="BC31" s="38" t="s">
        <v>3</v>
      </c>
      <c r="BD31" s="3">
        <v>171592</v>
      </c>
    </row>
    <row r="32" spans="1:56" ht="15" customHeight="1" x14ac:dyDescent="0.25">
      <c r="A32" s="38" t="s">
        <v>84</v>
      </c>
      <c r="B32" s="38" t="s">
        <v>138</v>
      </c>
      <c r="C32" s="38" t="s">
        <v>172</v>
      </c>
      <c r="D32" s="48">
        <v>696.43761099999995</v>
      </c>
      <c r="E32" s="92">
        <f t="shared" si="0"/>
        <v>62.5</v>
      </c>
      <c r="F32" s="12">
        <v>38718</v>
      </c>
      <c r="G32" s="12">
        <v>60083</v>
      </c>
      <c r="H32" s="12">
        <v>38847</v>
      </c>
      <c r="I32" s="11" t="s">
        <v>3</v>
      </c>
      <c r="J32" s="11" t="s">
        <v>3</v>
      </c>
      <c r="K32" s="114" t="s">
        <v>3</v>
      </c>
      <c r="L32" s="4">
        <v>13843</v>
      </c>
      <c r="M32" s="5">
        <v>80857</v>
      </c>
      <c r="N32" s="5">
        <v>158837</v>
      </c>
      <c r="O32" s="5">
        <v>232584</v>
      </c>
      <c r="P32" s="5">
        <v>549917</v>
      </c>
      <c r="Q32" s="4">
        <v>224088</v>
      </c>
      <c r="R32" s="5">
        <v>80819</v>
      </c>
      <c r="S32" s="5">
        <v>1494155</v>
      </c>
      <c r="T32" s="5">
        <v>16843562</v>
      </c>
      <c r="U32" s="5">
        <v>4641046</v>
      </c>
      <c r="V32" s="4">
        <v>340290</v>
      </c>
      <c r="W32" s="14">
        <v>3638142</v>
      </c>
      <c r="X32" s="14">
        <v>4925163</v>
      </c>
      <c r="Y32" s="14" t="s">
        <v>3</v>
      </c>
      <c r="Z32" s="39">
        <v>39039160</v>
      </c>
      <c r="AA32" s="7">
        <v>13415064</v>
      </c>
      <c r="AB32" s="7">
        <v>28408</v>
      </c>
      <c r="AC32" s="9">
        <v>16996994</v>
      </c>
      <c r="AD32" s="8" t="s">
        <v>3</v>
      </c>
      <c r="AE32" s="3">
        <v>1156468</v>
      </c>
      <c r="AF32" s="3">
        <v>213756</v>
      </c>
      <c r="AG32" s="3">
        <v>111920</v>
      </c>
      <c r="AH32" s="3">
        <v>40252</v>
      </c>
      <c r="AI32" s="1">
        <v>47846</v>
      </c>
      <c r="AJ32" s="1">
        <v>10384</v>
      </c>
      <c r="AK32" s="1">
        <v>54151</v>
      </c>
      <c r="AL32" s="1">
        <v>64980</v>
      </c>
      <c r="AM32" s="2" t="s">
        <v>3</v>
      </c>
      <c r="AN32" s="67">
        <v>290248</v>
      </c>
      <c r="AO32" s="68" t="s">
        <v>3</v>
      </c>
      <c r="AP32" s="68" t="s">
        <v>3</v>
      </c>
      <c r="AQ32" s="68" t="s">
        <v>3</v>
      </c>
      <c r="AR32" s="68" t="s">
        <v>3</v>
      </c>
      <c r="AS32" s="42">
        <v>2202</v>
      </c>
      <c r="AT32" s="42" t="s">
        <v>3</v>
      </c>
      <c r="AU32" s="42">
        <v>608</v>
      </c>
      <c r="AV32" s="42">
        <v>3262</v>
      </c>
      <c r="AW32" s="53">
        <v>60450</v>
      </c>
      <c r="AX32" s="53" t="s">
        <v>3</v>
      </c>
      <c r="AY32" s="57" t="s">
        <v>3</v>
      </c>
      <c r="AZ32" s="57" t="s">
        <v>3</v>
      </c>
      <c r="BA32" s="121" t="s">
        <v>3</v>
      </c>
      <c r="BB32" s="4" t="s">
        <v>3</v>
      </c>
      <c r="BC32" s="38" t="s">
        <v>3</v>
      </c>
      <c r="BD32" s="3">
        <v>120420</v>
      </c>
    </row>
    <row r="33" spans="1:56" ht="15" customHeight="1" x14ac:dyDescent="0.25">
      <c r="A33" s="38" t="s">
        <v>85</v>
      </c>
      <c r="B33" s="38" t="s">
        <v>138</v>
      </c>
      <c r="C33" s="38" t="s">
        <v>173</v>
      </c>
      <c r="D33" s="48">
        <v>740.46382600000004</v>
      </c>
      <c r="E33" s="92">
        <f t="shared" si="0"/>
        <v>58.333333333333336</v>
      </c>
      <c r="F33" s="12">
        <v>28435</v>
      </c>
      <c r="G33" s="12">
        <v>53584</v>
      </c>
      <c r="H33" s="12">
        <v>24299</v>
      </c>
      <c r="I33" s="11" t="s">
        <v>3</v>
      </c>
      <c r="J33" s="11" t="s">
        <v>3</v>
      </c>
      <c r="K33" s="114" t="s">
        <v>3</v>
      </c>
      <c r="L33" s="4">
        <v>7838</v>
      </c>
      <c r="M33" s="5">
        <v>90094</v>
      </c>
      <c r="N33" s="5">
        <v>83773</v>
      </c>
      <c r="O33" s="5">
        <v>142213</v>
      </c>
      <c r="P33" s="5">
        <v>344176</v>
      </c>
      <c r="Q33" s="4">
        <v>113575</v>
      </c>
      <c r="R33" s="5">
        <v>46743</v>
      </c>
      <c r="S33" s="4">
        <v>946889</v>
      </c>
      <c r="T33" s="4">
        <v>12200485</v>
      </c>
      <c r="U33" s="5">
        <v>3173185</v>
      </c>
      <c r="V33" s="4">
        <v>197996</v>
      </c>
      <c r="W33" s="14">
        <v>3020610</v>
      </c>
      <c r="X33" s="14">
        <v>3613169</v>
      </c>
      <c r="Y33" s="14" t="s">
        <v>3</v>
      </c>
      <c r="Z33" s="39">
        <v>24204324</v>
      </c>
      <c r="AA33" s="7">
        <v>10595890</v>
      </c>
      <c r="AB33" s="7" t="s">
        <v>3</v>
      </c>
      <c r="AC33" s="9">
        <v>8888426</v>
      </c>
      <c r="AD33" s="8" t="s">
        <v>3</v>
      </c>
      <c r="AE33" s="3">
        <v>927428</v>
      </c>
      <c r="AF33" s="3">
        <v>211156</v>
      </c>
      <c r="AG33" s="3">
        <v>70244</v>
      </c>
      <c r="AH33" s="3">
        <v>26244</v>
      </c>
      <c r="AI33" s="1">
        <v>25424</v>
      </c>
      <c r="AJ33" s="1">
        <v>6310</v>
      </c>
      <c r="AK33" s="1">
        <v>55932</v>
      </c>
      <c r="AL33" s="1">
        <v>46290</v>
      </c>
      <c r="AM33" s="2" t="s">
        <v>3</v>
      </c>
      <c r="AN33" s="67">
        <v>179797</v>
      </c>
      <c r="AO33" s="68" t="s">
        <v>3</v>
      </c>
      <c r="AP33" s="68" t="s">
        <v>3</v>
      </c>
      <c r="AQ33" s="68" t="s">
        <v>3</v>
      </c>
      <c r="AR33" s="68" t="s">
        <v>3</v>
      </c>
      <c r="AS33" s="42">
        <v>1009</v>
      </c>
      <c r="AT33" s="42" t="s">
        <v>3</v>
      </c>
      <c r="AU33" s="42">
        <v>300</v>
      </c>
      <c r="AV33" s="42">
        <v>1550</v>
      </c>
      <c r="AW33" s="53" t="s">
        <v>3</v>
      </c>
      <c r="AX33" s="53" t="s">
        <v>3</v>
      </c>
      <c r="AY33" s="57" t="s">
        <v>3</v>
      </c>
      <c r="AZ33" s="57" t="s">
        <v>3</v>
      </c>
      <c r="BA33" s="121" t="s">
        <v>3</v>
      </c>
      <c r="BB33" s="4" t="s">
        <v>3</v>
      </c>
      <c r="BC33" s="38" t="s">
        <v>3</v>
      </c>
      <c r="BD33" s="3">
        <v>84116</v>
      </c>
    </row>
    <row r="34" spans="1:56" ht="15" customHeight="1" x14ac:dyDescent="0.25">
      <c r="A34" s="38" t="s">
        <v>86</v>
      </c>
      <c r="B34" s="38" t="s">
        <v>138</v>
      </c>
      <c r="C34" s="38" t="s">
        <v>174</v>
      </c>
      <c r="D34" s="48">
        <v>784.49004100000002</v>
      </c>
      <c r="E34" s="92">
        <f t="shared" si="0"/>
        <v>52.083333333333336</v>
      </c>
      <c r="F34" s="12">
        <v>13183</v>
      </c>
      <c r="G34" s="12">
        <v>27712</v>
      </c>
      <c r="H34" s="12">
        <v>16823</v>
      </c>
      <c r="I34" s="11" t="s">
        <v>3</v>
      </c>
      <c r="J34" s="11" t="s">
        <v>3</v>
      </c>
      <c r="K34" s="114" t="s">
        <v>3</v>
      </c>
      <c r="L34" s="4">
        <v>6796</v>
      </c>
      <c r="M34" s="5">
        <v>63998</v>
      </c>
      <c r="N34" s="5">
        <v>54585</v>
      </c>
      <c r="O34" s="5">
        <v>98410</v>
      </c>
      <c r="P34" s="4">
        <v>232096</v>
      </c>
      <c r="Q34" s="4">
        <v>115343</v>
      </c>
      <c r="R34" s="4">
        <v>31178</v>
      </c>
      <c r="S34" s="4">
        <v>593311</v>
      </c>
      <c r="T34" s="4">
        <v>7659217</v>
      </c>
      <c r="U34" s="5">
        <v>2036051</v>
      </c>
      <c r="V34" s="4">
        <v>94246</v>
      </c>
      <c r="W34" s="14">
        <v>2786422</v>
      </c>
      <c r="X34" s="14">
        <v>3238223</v>
      </c>
      <c r="Y34" s="14" t="s">
        <v>3</v>
      </c>
      <c r="Z34" s="39">
        <v>15840765</v>
      </c>
      <c r="AA34" s="7">
        <v>8262174</v>
      </c>
      <c r="AB34" s="7" t="s">
        <v>3</v>
      </c>
      <c r="AC34" s="9">
        <v>6479574</v>
      </c>
      <c r="AD34" s="8" t="s">
        <v>3</v>
      </c>
      <c r="AE34" s="3">
        <v>480396</v>
      </c>
      <c r="AF34" s="3">
        <v>137816</v>
      </c>
      <c r="AG34" s="3">
        <v>44032</v>
      </c>
      <c r="AH34" s="3">
        <v>16684</v>
      </c>
      <c r="AI34" s="1">
        <v>17665</v>
      </c>
      <c r="AJ34" s="1">
        <v>4948</v>
      </c>
      <c r="AK34" s="1">
        <v>44512</v>
      </c>
      <c r="AL34" s="1">
        <v>45874</v>
      </c>
      <c r="AM34" s="2" t="s">
        <v>3</v>
      </c>
      <c r="AN34" s="64" t="s">
        <v>3</v>
      </c>
      <c r="AO34" s="64" t="s">
        <v>3</v>
      </c>
      <c r="AP34" s="64" t="s">
        <v>3</v>
      </c>
      <c r="AQ34" s="64" t="s">
        <v>3</v>
      </c>
      <c r="AR34" s="64" t="s">
        <v>3</v>
      </c>
      <c r="AS34" s="42">
        <v>402</v>
      </c>
      <c r="AT34" s="42" t="s">
        <v>3</v>
      </c>
      <c r="AU34" s="42" t="s">
        <v>3</v>
      </c>
      <c r="AV34" s="42">
        <f>784.49158-784.49004</f>
        <v>1.5399999999772263E-3</v>
      </c>
      <c r="AW34" s="53" t="s">
        <v>3</v>
      </c>
      <c r="AX34" s="53" t="s">
        <v>3</v>
      </c>
      <c r="AY34" s="57" t="s">
        <v>3</v>
      </c>
      <c r="AZ34" s="57" t="s">
        <v>3</v>
      </c>
      <c r="BA34" s="121" t="s">
        <v>3</v>
      </c>
      <c r="BB34" s="4" t="s">
        <v>3</v>
      </c>
      <c r="BC34" s="38" t="s">
        <v>3</v>
      </c>
      <c r="BD34" s="3">
        <v>69240</v>
      </c>
    </row>
    <row r="35" spans="1:56" ht="15" customHeight="1" x14ac:dyDescent="0.25">
      <c r="A35" s="38" t="s">
        <v>4</v>
      </c>
      <c r="B35" s="38" t="s">
        <v>138</v>
      </c>
      <c r="C35" s="38" t="s">
        <v>175</v>
      </c>
      <c r="D35" s="48">
        <v>248.079849</v>
      </c>
      <c r="E35" s="92">
        <f t="shared" si="0"/>
        <v>10.416666666666668</v>
      </c>
      <c r="F35" s="12" t="s">
        <v>3</v>
      </c>
      <c r="G35" s="12" t="s">
        <v>3</v>
      </c>
      <c r="H35" s="12" t="s">
        <v>3</v>
      </c>
      <c r="I35" s="11" t="s">
        <v>3</v>
      </c>
      <c r="J35" s="11" t="s">
        <v>3</v>
      </c>
      <c r="K35" s="114" t="s">
        <v>3</v>
      </c>
      <c r="L35" s="4" t="s">
        <v>3</v>
      </c>
      <c r="M35" s="4" t="s">
        <v>3</v>
      </c>
      <c r="N35" s="4" t="s">
        <v>3</v>
      </c>
      <c r="O35" s="5">
        <v>20614</v>
      </c>
      <c r="P35" s="4" t="s">
        <v>3</v>
      </c>
      <c r="Q35" s="4" t="s">
        <v>3</v>
      </c>
      <c r="R35" s="4" t="s">
        <v>3</v>
      </c>
      <c r="S35" s="5">
        <v>14167</v>
      </c>
      <c r="T35" s="5">
        <v>179637</v>
      </c>
      <c r="U35" s="4">
        <v>15326</v>
      </c>
      <c r="V35" s="4" t="s">
        <v>3</v>
      </c>
      <c r="W35" s="13" t="s">
        <v>3</v>
      </c>
      <c r="X35" s="13" t="s">
        <v>3</v>
      </c>
      <c r="Y35" s="14" t="s">
        <v>3</v>
      </c>
      <c r="Z35" s="39" t="s">
        <v>3</v>
      </c>
      <c r="AA35" s="6">
        <v>9222099</v>
      </c>
      <c r="AB35" s="7" t="s">
        <v>3</v>
      </c>
      <c r="AC35" s="8" t="s">
        <v>3</v>
      </c>
      <c r="AD35" s="9" t="s">
        <v>3</v>
      </c>
      <c r="AE35" s="3" t="s">
        <v>3</v>
      </c>
      <c r="AF35" s="3" t="s">
        <v>3</v>
      </c>
      <c r="AG35" s="3" t="s">
        <v>3</v>
      </c>
      <c r="AH35" s="3" t="s">
        <v>3</v>
      </c>
      <c r="AI35" s="1" t="s">
        <v>3</v>
      </c>
      <c r="AJ35" s="1" t="s">
        <v>3</v>
      </c>
      <c r="AK35" s="1" t="s">
        <v>3</v>
      </c>
      <c r="AL35" s="1" t="s">
        <v>3</v>
      </c>
      <c r="AM35" s="1" t="s">
        <v>3</v>
      </c>
      <c r="AN35" s="64" t="s">
        <v>3</v>
      </c>
      <c r="AO35" s="64" t="s">
        <v>3</v>
      </c>
      <c r="AP35" s="64" t="s">
        <v>3</v>
      </c>
      <c r="AQ35" s="64" t="s">
        <v>3</v>
      </c>
      <c r="AR35" s="64" t="s">
        <v>3</v>
      </c>
      <c r="AS35" s="42" t="s">
        <v>3</v>
      </c>
      <c r="AT35" s="42" t="s">
        <v>3</v>
      </c>
      <c r="AU35" s="42" t="s">
        <v>3</v>
      </c>
      <c r="AV35" s="42" t="s">
        <v>3</v>
      </c>
      <c r="AW35" s="53" t="s">
        <v>3</v>
      </c>
      <c r="AX35" s="53" t="s">
        <v>3</v>
      </c>
      <c r="AY35" s="57" t="s">
        <v>3</v>
      </c>
      <c r="AZ35" s="57" t="s">
        <v>3</v>
      </c>
      <c r="BA35" s="121" t="s">
        <v>3</v>
      </c>
      <c r="BB35" s="4" t="s">
        <v>3</v>
      </c>
      <c r="BC35" s="38" t="s">
        <v>3</v>
      </c>
      <c r="BD35" s="3" t="s">
        <v>3</v>
      </c>
    </row>
    <row r="36" spans="1:56" ht="15" customHeight="1" x14ac:dyDescent="0.25">
      <c r="A36" s="38" t="s">
        <v>4</v>
      </c>
      <c r="B36" s="38" t="s">
        <v>139</v>
      </c>
      <c r="C36" s="38" t="s">
        <v>175</v>
      </c>
      <c r="D36" s="48">
        <v>229.038747</v>
      </c>
      <c r="E36" s="92">
        <f t="shared" si="0"/>
        <v>25</v>
      </c>
      <c r="F36" s="12" t="s">
        <v>564</v>
      </c>
      <c r="G36" s="12" t="s">
        <v>564</v>
      </c>
      <c r="H36" s="12" t="s">
        <v>564</v>
      </c>
      <c r="I36" s="11" t="s">
        <v>3</v>
      </c>
      <c r="J36" s="11" t="s">
        <v>3</v>
      </c>
      <c r="K36" s="115">
        <v>12304</v>
      </c>
      <c r="L36" s="5" t="s">
        <v>3</v>
      </c>
      <c r="M36" s="5">
        <v>5784</v>
      </c>
      <c r="N36" s="5">
        <v>5275</v>
      </c>
      <c r="O36" s="5">
        <v>74922</v>
      </c>
      <c r="P36" s="5">
        <v>48126</v>
      </c>
      <c r="Q36" s="5">
        <v>6921</v>
      </c>
      <c r="R36" s="5">
        <v>8011</v>
      </c>
      <c r="S36" s="5">
        <v>35819</v>
      </c>
      <c r="T36" s="5">
        <v>506170</v>
      </c>
      <c r="U36" s="5">
        <v>57538</v>
      </c>
      <c r="V36" s="5" t="s">
        <v>3</v>
      </c>
      <c r="W36" s="14" t="s">
        <v>564</v>
      </c>
      <c r="X36" s="14" t="s">
        <v>564</v>
      </c>
      <c r="Y36" s="14" t="s">
        <v>564</v>
      </c>
      <c r="Z36" s="40" t="s">
        <v>3</v>
      </c>
      <c r="AA36" s="6" t="s">
        <v>3</v>
      </c>
      <c r="AB36" s="6" t="s">
        <v>3</v>
      </c>
      <c r="AC36" s="8">
        <v>71064</v>
      </c>
      <c r="AD36" s="8" t="s">
        <v>3</v>
      </c>
      <c r="AE36" s="3">
        <v>2092</v>
      </c>
      <c r="AF36" s="3" t="s">
        <v>3</v>
      </c>
      <c r="AG36" s="3" t="s">
        <v>3</v>
      </c>
      <c r="AH36" s="3" t="s">
        <v>3</v>
      </c>
      <c r="AI36" s="1" t="s">
        <v>3</v>
      </c>
      <c r="AJ36" s="1" t="s">
        <v>564</v>
      </c>
      <c r="AK36" s="1" t="s">
        <v>3</v>
      </c>
      <c r="AL36" s="1" t="s">
        <v>3</v>
      </c>
      <c r="AM36" s="1" t="s">
        <v>564</v>
      </c>
      <c r="AN36" s="64" t="s">
        <v>564</v>
      </c>
      <c r="AO36" s="64" t="s">
        <v>564</v>
      </c>
      <c r="AP36" s="64" t="s">
        <v>564</v>
      </c>
      <c r="AQ36" s="64" t="s">
        <v>564</v>
      </c>
      <c r="AR36" s="64" t="s">
        <v>564</v>
      </c>
      <c r="AS36" s="42" t="s">
        <v>3</v>
      </c>
      <c r="AT36" s="42" t="s">
        <v>3</v>
      </c>
      <c r="AU36" s="42" t="s">
        <v>3</v>
      </c>
      <c r="AV36" s="42" t="s">
        <v>3</v>
      </c>
      <c r="AW36" s="53">
        <v>72149</v>
      </c>
      <c r="AX36" s="53" t="s">
        <v>3</v>
      </c>
      <c r="AY36" s="57" t="s">
        <v>3</v>
      </c>
      <c r="AZ36" s="57" t="s">
        <v>3</v>
      </c>
      <c r="BA36" s="121" t="s">
        <v>3</v>
      </c>
      <c r="BB36" s="4" t="s">
        <v>3</v>
      </c>
      <c r="BC36" s="38" t="s">
        <v>3</v>
      </c>
      <c r="BD36" s="3" t="s">
        <v>3</v>
      </c>
    </row>
    <row r="37" spans="1:56" ht="15" customHeight="1" x14ac:dyDescent="0.25">
      <c r="A37" s="38" t="s">
        <v>5</v>
      </c>
      <c r="B37" s="38" t="s">
        <v>138</v>
      </c>
      <c r="C37" s="38" t="s">
        <v>176</v>
      </c>
      <c r="D37" s="48">
        <v>292.106064</v>
      </c>
      <c r="E37" s="92">
        <f t="shared" si="0"/>
        <v>18.75</v>
      </c>
      <c r="F37" s="12" t="s">
        <v>3</v>
      </c>
      <c r="G37" s="12" t="s">
        <v>3</v>
      </c>
      <c r="H37" s="12" t="s">
        <v>3</v>
      </c>
      <c r="I37" s="11" t="s">
        <v>3</v>
      </c>
      <c r="J37" s="11" t="s">
        <v>3</v>
      </c>
      <c r="K37" s="114" t="s">
        <v>3</v>
      </c>
      <c r="L37" s="4" t="s">
        <v>3</v>
      </c>
      <c r="M37" s="5">
        <v>8802</v>
      </c>
      <c r="N37" s="4" t="s">
        <v>3</v>
      </c>
      <c r="O37" s="5">
        <v>50668</v>
      </c>
      <c r="P37" s="5">
        <v>30763</v>
      </c>
      <c r="Q37" s="4" t="s">
        <v>3</v>
      </c>
      <c r="R37" s="4" t="s">
        <v>3</v>
      </c>
      <c r="S37" s="5">
        <v>77468</v>
      </c>
      <c r="T37" s="5">
        <v>2554282</v>
      </c>
      <c r="U37" s="4">
        <v>241596</v>
      </c>
      <c r="V37" s="4" t="s">
        <v>3</v>
      </c>
      <c r="W37" s="13" t="s">
        <v>3</v>
      </c>
      <c r="X37" s="13" t="s">
        <v>3</v>
      </c>
      <c r="Y37" s="14" t="s">
        <v>3</v>
      </c>
      <c r="Z37" s="39" t="s">
        <v>3</v>
      </c>
      <c r="AA37" s="6">
        <v>11425745</v>
      </c>
      <c r="AB37" s="7" t="s">
        <v>3</v>
      </c>
      <c r="AC37" s="9">
        <v>421527</v>
      </c>
      <c r="AD37" s="9" t="s">
        <v>3</v>
      </c>
      <c r="AE37" s="3">
        <v>98968</v>
      </c>
      <c r="AF37" s="3" t="s">
        <v>3</v>
      </c>
      <c r="AG37" s="3" t="s">
        <v>3</v>
      </c>
      <c r="AH37" s="3" t="s">
        <v>3</v>
      </c>
      <c r="AI37" s="1" t="s">
        <v>3</v>
      </c>
      <c r="AJ37" s="1" t="s">
        <v>3</v>
      </c>
      <c r="AK37" s="1" t="s">
        <v>3</v>
      </c>
      <c r="AL37" s="1" t="s">
        <v>3</v>
      </c>
      <c r="AM37" s="1" t="s">
        <v>3</v>
      </c>
      <c r="AN37" s="64" t="s">
        <v>3</v>
      </c>
      <c r="AO37" s="64" t="s">
        <v>3</v>
      </c>
      <c r="AP37" s="64" t="s">
        <v>3</v>
      </c>
      <c r="AQ37" s="64" t="s">
        <v>3</v>
      </c>
      <c r="AR37" s="64" t="s">
        <v>3</v>
      </c>
      <c r="AS37" s="42" t="s">
        <v>3</v>
      </c>
      <c r="AT37" s="42" t="s">
        <v>3</v>
      </c>
      <c r="AU37" s="42" t="s">
        <v>3</v>
      </c>
      <c r="AV37" s="42" t="s">
        <v>3</v>
      </c>
      <c r="AW37" s="53" t="s">
        <v>3</v>
      </c>
      <c r="AX37" s="53" t="s">
        <v>3</v>
      </c>
      <c r="AY37" s="57" t="s">
        <v>3</v>
      </c>
      <c r="AZ37" s="57" t="s">
        <v>3</v>
      </c>
      <c r="BA37" s="121" t="s">
        <v>3</v>
      </c>
      <c r="BB37" s="4" t="s">
        <v>3</v>
      </c>
      <c r="BC37" s="38" t="s">
        <v>3</v>
      </c>
      <c r="BD37" s="3" t="s">
        <v>3</v>
      </c>
    </row>
    <row r="38" spans="1:56" ht="15" customHeight="1" x14ac:dyDescent="0.25">
      <c r="A38" s="38" t="s">
        <v>5</v>
      </c>
      <c r="B38" s="38" t="s">
        <v>139</v>
      </c>
      <c r="C38" s="38" t="s">
        <v>176</v>
      </c>
      <c r="D38" s="48">
        <v>273.06496199999998</v>
      </c>
      <c r="E38" s="92">
        <f t="shared" si="0"/>
        <v>27.083333333333332</v>
      </c>
      <c r="F38" s="12" t="s">
        <v>564</v>
      </c>
      <c r="G38" s="12" t="s">
        <v>564</v>
      </c>
      <c r="H38" s="12" t="s">
        <v>564</v>
      </c>
      <c r="I38" s="11" t="s">
        <v>3</v>
      </c>
      <c r="J38" s="11" t="s">
        <v>3</v>
      </c>
      <c r="K38" s="115">
        <v>11104</v>
      </c>
      <c r="L38" s="5" t="s">
        <v>3</v>
      </c>
      <c r="M38" s="5">
        <v>13377</v>
      </c>
      <c r="N38" s="5">
        <v>5051</v>
      </c>
      <c r="O38" s="5">
        <v>114032</v>
      </c>
      <c r="P38" s="5">
        <v>78596</v>
      </c>
      <c r="Q38" s="5">
        <v>10809</v>
      </c>
      <c r="R38" s="5">
        <v>24237</v>
      </c>
      <c r="S38" s="5">
        <v>153779</v>
      </c>
      <c r="T38" s="5">
        <v>4223653</v>
      </c>
      <c r="U38" s="5">
        <v>587651</v>
      </c>
      <c r="V38" s="5" t="s">
        <v>3</v>
      </c>
      <c r="W38" s="14" t="s">
        <v>564</v>
      </c>
      <c r="X38" s="14" t="s">
        <v>564</v>
      </c>
      <c r="Y38" s="14" t="s">
        <v>564</v>
      </c>
      <c r="Z38" s="40" t="s">
        <v>3</v>
      </c>
      <c r="AA38" s="6">
        <v>322901</v>
      </c>
      <c r="AB38" s="6" t="s">
        <v>3</v>
      </c>
      <c r="AC38" s="8">
        <v>289887</v>
      </c>
      <c r="AD38" s="8" t="s">
        <v>3</v>
      </c>
      <c r="AE38" s="3">
        <v>30120</v>
      </c>
      <c r="AF38" s="3" t="s">
        <v>3</v>
      </c>
      <c r="AG38" s="3" t="s">
        <v>3</v>
      </c>
      <c r="AH38" s="3" t="s">
        <v>3</v>
      </c>
      <c r="AI38" s="1" t="s">
        <v>3</v>
      </c>
      <c r="AJ38" s="1" t="s">
        <v>564</v>
      </c>
      <c r="AK38" s="1" t="s">
        <v>3</v>
      </c>
      <c r="AL38" s="1" t="s">
        <v>3</v>
      </c>
      <c r="AM38" s="1" t="s">
        <v>564</v>
      </c>
      <c r="AN38" s="64" t="s">
        <v>564</v>
      </c>
      <c r="AO38" s="64" t="s">
        <v>564</v>
      </c>
      <c r="AP38" s="64" t="s">
        <v>564</v>
      </c>
      <c r="AQ38" s="64" t="s">
        <v>564</v>
      </c>
      <c r="AR38" s="64" t="s">
        <v>564</v>
      </c>
      <c r="AS38" s="42" t="s">
        <v>3</v>
      </c>
      <c r="AT38" s="42" t="s">
        <v>3</v>
      </c>
      <c r="AU38" s="42" t="s">
        <v>3</v>
      </c>
      <c r="AV38" s="42" t="s">
        <v>3</v>
      </c>
      <c r="AW38" s="53">
        <v>78878</v>
      </c>
      <c r="AX38" s="53" t="s">
        <v>3</v>
      </c>
      <c r="AY38" s="57" t="s">
        <v>3</v>
      </c>
      <c r="AZ38" s="57" t="s">
        <v>3</v>
      </c>
      <c r="BA38" s="121" t="s">
        <v>3</v>
      </c>
      <c r="BB38" s="4" t="s">
        <v>3</v>
      </c>
      <c r="BC38" s="38" t="s">
        <v>3</v>
      </c>
      <c r="BD38" s="3">
        <v>1228</v>
      </c>
    </row>
    <row r="39" spans="1:56" ht="15" customHeight="1" x14ac:dyDescent="0.25">
      <c r="A39" s="38" t="s">
        <v>6</v>
      </c>
      <c r="B39" s="38" t="s">
        <v>138</v>
      </c>
      <c r="C39" s="38" t="s">
        <v>177</v>
      </c>
      <c r="D39" s="48">
        <v>336.13227899999998</v>
      </c>
      <c r="E39" s="92">
        <f t="shared" si="0"/>
        <v>31.25</v>
      </c>
      <c r="F39" s="12" t="s">
        <v>3</v>
      </c>
      <c r="G39" s="12" t="s">
        <v>3</v>
      </c>
      <c r="H39" s="12" t="s">
        <v>3</v>
      </c>
      <c r="I39" s="11" t="s">
        <v>3</v>
      </c>
      <c r="J39" s="11" t="s">
        <v>3</v>
      </c>
      <c r="K39" s="114" t="s">
        <v>3</v>
      </c>
      <c r="L39" s="4" t="s">
        <v>3</v>
      </c>
      <c r="M39" s="5">
        <v>23920</v>
      </c>
      <c r="N39" s="5">
        <v>17870</v>
      </c>
      <c r="O39" s="5">
        <v>25556</v>
      </c>
      <c r="P39" s="5">
        <v>138695</v>
      </c>
      <c r="Q39" s="4">
        <v>19417</v>
      </c>
      <c r="R39" s="5">
        <v>28131</v>
      </c>
      <c r="S39" s="5">
        <v>407579</v>
      </c>
      <c r="T39" s="5">
        <v>8734690</v>
      </c>
      <c r="U39" s="5">
        <v>1648995</v>
      </c>
      <c r="V39" s="4" t="s">
        <v>3</v>
      </c>
      <c r="W39" s="13">
        <v>650799</v>
      </c>
      <c r="X39" s="14">
        <v>1499620</v>
      </c>
      <c r="Y39" s="14" t="s">
        <v>3</v>
      </c>
      <c r="Z39" s="39" t="s">
        <v>3</v>
      </c>
      <c r="AA39" s="6">
        <v>12381851</v>
      </c>
      <c r="AB39" s="7" t="s">
        <v>3</v>
      </c>
      <c r="AC39" s="8">
        <v>1153446</v>
      </c>
      <c r="AD39" s="9" t="s">
        <v>3</v>
      </c>
      <c r="AE39" s="3">
        <v>738588</v>
      </c>
      <c r="AF39" s="3" t="s">
        <v>3</v>
      </c>
      <c r="AG39" s="3">
        <v>3952</v>
      </c>
      <c r="AH39" s="3" t="s">
        <v>3</v>
      </c>
      <c r="AI39" s="1" t="s">
        <v>3</v>
      </c>
      <c r="AJ39" s="1" t="s">
        <v>3</v>
      </c>
      <c r="AK39" s="1" t="s">
        <v>3</v>
      </c>
      <c r="AL39" s="1" t="s">
        <v>3</v>
      </c>
      <c r="AM39" s="1" t="s">
        <v>3</v>
      </c>
      <c r="AN39" s="64" t="s">
        <v>3</v>
      </c>
      <c r="AO39" s="64" t="s">
        <v>3</v>
      </c>
      <c r="AP39" s="64" t="s">
        <v>3</v>
      </c>
      <c r="AQ39" s="64" t="s">
        <v>3</v>
      </c>
      <c r="AR39" s="64" t="s">
        <v>3</v>
      </c>
      <c r="AS39" s="42" t="s">
        <v>3</v>
      </c>
      <c r="AT39" s="42" t="s">
        <v>3</v>
      </c>
      <c r="AU39" s="42" t="s">
        <v>3</v>
      </c>
      <c r="AV39" s="42" t="s">
        <v>3</v>
      </c>
      <c r="AW39" s="53" t="s">
        <v>3</v>
      </c>
      <c r="AX39" s="53" t="s">
        <v>3</v>
      </c>
      <c r="AY39" s="57" t="s">
        <v>3</v>
      </c>
      <c r="AZ39" s="57" t="s">
        <v>3</v>
      </c>
      <c r="BA39" s="121" t="s">
        <v>3</v>
      </c>
      <c r="BB39" s="4" t="s">
        <v>3</v>
      </c>
      <c r="BC39" s="38" t="s">
        <v>3</v>
      </c>
      <c r="BD39" s="3">
        <v>19124</v>
      </c>
    </row>
    <row r="40" spans="1:56" ht="15" customHeight="1" x14ac:dyDescent="0.25">
      <c r="A40" s="38" t="s">
        <v>6</v>
      </c>
      <c r="B40" s="38" t="s">
        <v>139</v>
      </c>
      <c r="C40" s="38" t="s">
        <v>177</v>
      </c>
      <c r="D40" s="48">
        <v>317.09117700000002</v>
      </c>
      <c r="E40" s="92">
        <f t="shared" si="0"/>
        <v>33.333333333333329</v>
      </c>
      <c r="F40" s="12" t="s">
        <v>564</v>
      </c>
      <c r="G40" s="12" t="s">
        <v>564</v>
      </c>
      <c r="H40" s="12" t="s">
        <v>564</v>
      </c>
      <c r="I40" s="11" t="s">
        <v>3</v>
      </c>
      <c r="J40" s="11" t="s">
        <v>3</v>
      </c>
      <c r="K40" s="115">
        <v>10909</v>
      </c>
      <c r="L40" s="5" t="s">
        <v>3</v>
      </c>
      <c r="M40" s="5">
        <v>44019</v>
      </c>
      <c r="N40" s="5">
        <v>27916</v>
      </c>
      <c r="O40" s="5">
        <v>61212</v>
      </c>
      <c r="P40" s="5">
        <v>175741</v>
      </c>
      <c r="Q40" s="5">
        <v>63027</v>
      </c>
      <c r="R40" s="5">
        <v>52719</v>
      </c>
      <c r="S40" s="5">
        <v>548056</v>
      </c>
      <c r="T40" s="5">
        <v>9900028</v>
      </c>
      <c r="U40" s="5">
        <v>2412905</v>
      </c>
      <c r="V40" s="5" t="s">
        <v>3</v>
      </c>
      <c r="W40" s="14" t="s">
        <v>564</v>
      </c>
      <c r="X40" s="14" t="s">
        <v>564</v>
      </c>
      <c r="Y40" s="14" t="s">
        <v>564</v>
      </c>
      <c r="Z40" s="40" t="s">
        <v>3</v>
      </c>
      <c r="AA40" s="6">
        <v>1746748</v>
      </c>
      <c r="AB40" s="6" t="s">
        <v>3</v>
      </c>
      <c r="AC40" s="8">
        <v>185913</v>
      </c>
      <c r="AD40" s="8" t="s">
        <v>3</v>
      </c>
      <c r="AE40" s="3">
        <v>127168</v>
      </c>
      <c r="AF40" s="3" t="s">
        <v>3</v>
      </c>
      <c r="AG40" s="3">
        <v>748</v>
      </c>
      <c r="AH40" s="3" t="s">
        <v>3</v>
      </c>
      <c r="AI40" s="1">
        <v>3154</v>
      </c>
      <c r="AJ40" s="1" t="s">
        <v>564</v>
      </c>
      <c r="AK40" s="2">
        <v>7225</v>
      </c>
      <c r="AL40" s="1" t="s">
        <v>3</v>
      </c>
      <c r="AM40" s="1" t="s">
        <v>564</v>
      </c>
      <c r="AN40" s="64" t="s">
        <v>564</v>
      </c>
      <c r="AO40" s="64" t="s">
        <v>564</v>
      </c>
      <c r="AP40" s="64" t="s">
        <v>564</v>
      </c>
      <c r="AQ40" s="64" t="s">
        <v>564</v>
      </c>
      <c r="AR40" s="64" t="s">
        <v>564</v>
      </c>
      <c r="AS40" s="42" t="s">
        <v>3</v>
      </c>
      <c r="AT40" s="42" t="s">
        <v>3</v>
      </c>
      <c r="AU40" s="42" t="s">
        <v>3</v>
      </c>
      <c r="AV40" s="42" t="s">
        <v>3</v>
      </c>
      <c r="AW40" s="53">
        <v>151136</v>
      </c>
      <c r="AX40" s="53" t="s">
        <v>3</v>
      </c>
      <c r="AY40" s="57" t="s">
        <v>3</v>
      </c>
      <c r="AZ40" s="57" t="s">
        <v>3</v>
      </c>
      <c r="BA40" s="121" t="s">
        <v>3</v>
      </c>
      <c r="BB40" s="4" t="s">
        <v>3</v>
      </c>
      <c r="BC40" s="38" t="s">
        <v>3</v>
      </c>
      <c r="BD40" s="3">
        <v>1432</v>
      </c>
    </row>
    <row r="41" spans="1:56" ht="15" customHeight="1" x14ac:dyDescent="0.25">
      <c r="A41" s="38" t="s">
        <v>7</v>
      </c>
      <c r="B41" s="38" t="s">
        <v>138</v>
      </c>
      <c r="C41" s="38" t="s">
        <v>178</v>
      </c>
      <c r="D41" s="48">
        <v>380.15849400000002</v>
      </c>
      <c r="E41" s="92">
        <f t="shared" si="0"/>
        <v>35.416666666666671</v>
      </c>
      <c r="F41" s="12" t="s">
        <v>3</v>
      </c>
      <c r="G41" s="12" t="s">
        <v>3</v>
      </c>
      <c r="H41" s="12" t="s">
        <v>3</v>
      </c>
      <c r="I41" s="11" t="s">
        <v>3</v>
      </c>
      <c r="J41" s="11" t="s">
        <v>3</v>
      </c>
      <c r="K41" s="114" t="s">
        <v>3</v>
      </c>
      <c r="L41" s="4">
        <v>1586</v>
      </c>
      <c r="M41" s="5">
        <v>16875</v>
      </c>
      <c r="N41" s="5">
        <v>10282</v>
      </c>
      <c r="O41" s="5">
        <v>11804</v>
      </c>
      <c r="P41" s="5">
        <v>127401</v>
      </c>
      <c r="Q41" s="4">
        <v>12989</v>
      </c>
      <c r="R41" s="5">
        <v>14232</v>
      </c>
      <c r="S41" s="5">
        <v>230675</v>
      </c>
      <c r="T41" s="5">
        <v>5496227</v>
      </c>
      <c r="U41" s="5">
        <v>895863</v>
      </c>
      <c r="V41" s="4" t="s">
        <v>3</v>
      </c>
      <c r="W41" s="13">
        <v>1042022</v>
      </c>
      <c r="X41" s="14">
        <v>2426195</v>
      </c>
      <c r="Y41" s="14" t="s">
        <v>3</v>
      </c>
      <c r="Z41" s="39" t="s">
        <v>3</v>
      </c>
      <c r="AA41" s="7">
        <v>16481166</v>
      </c>
      <c r="AB41" s="7" t="s">
        <v>3</v>
      </c>
      <c r="AC41" s="8">
        <v>896590</v>
      </c>
      <c r="AD41" s="9" t="s">
        <v>3</v>
      </c>
      <c r="AE41" s="3">
        <v>623272</v>
      </c>
      <c r="AF41" s="3" t="s">
        <v>3</v>
      </c>
      <c r="AG41" s="3">
        <v>7264</v>
      </c>
      <c r="AH41" s="3" t="s">
        <v>3</v>
      </c>
      <c r="AI41" s="1" t="s">
        <v>3</v>
      </c>
      <c r="AJ41" s="1" t="s">
        <v>3</v>
      </c>
      <c r="AK41" s="1" t="s">
        <v>3</v>
      </c>
      <c r="AL41" s="1" t="s">
        <v>3</v>
      </c>
      <c r="AM41" s="1" t="s">
        <v>3</v>
      </c>
      <c r="AN41" s="64" t="s">
        <v>3</v>
      </c>
      <c r="AO41" s="64" t="s">
        <v>3</v>
      </c>
      <c r="AP41" s="64" t="s">
        <v>3</v>
      </c>
      <c r="AQ41" s="64" t="s">
        <v>3</v>
      </c>
      <c r="AR41" s="64" t="s">
        <v>3</v>
      </c>
      <c r="AS41" s="42" t="s">
        <v>3</v>
      </c>
      <c r="AT41" s="42" t="s">
        <v>3</v>
      </c>
      <c r="AU41" s="42" t="s">
        <v>3</v>
      </c>
      <c r="AV41" s="42" t="s">
        <v>3</v>
      </c>
      <c r="AW41" s="53">
        <v>15896</v>
      </c>
      <c r="AX41" s="53" t="s">
        <v>3</v>
      </c>
      <c r="AY41" s="57" t="s">
        <v>3</v>
      </c>
      <c r="AZ41" s="57" t="s">
        <v>3</v>
      </c>
      <c r="BA41" s="121" t="s">
        <v>3</v>
      </c>
      <c r="BB41" s="4" t="s">
        <v>3</v>
      </c>
      <c r="BC41" s="38" t="s">
        <v>3</v>
      </c>
      <c r="BD41" s="3">
        <v>9312</v>
      </c>
    </row>
    <row r="42" spans="1:56" ht="15" customHeight="1" x14ac:dyDescent="0.25">
      <c r="A42" s="38" t="s">
        <v>7</v>
      </c>
      <c r="B42" s="38" t="s">
        <v>139</v>
      </c>
      <c r="C42" s="38" t="s">
        <v>178</v>
      </c>
      <c r="D42" s="48">
        <v>361.117392</v>
      </c>
      <c r="E42" s="92">
        <f t="shared" si="0"/>
        <v>35.416666666666671</v>
      </c>
      <c r="F42" s="12" t="s">
        <v>564</v>
      </c>
      <c r="G42" s="12" t="s">
        <v>564</v>
      </c>
      <c r="H42" s="12" t="s">
        <v>564</v>
      </c>
      <c r="I42" s="11" t="s">
        <v>3</v>
      </c>
      <c r="J42" s="11" t="s">
        <v>3</v>
      </c>
      <c r="K42" s="115">
        <v>20373</v>
      </c>
      <c r="L42" s="5" t="s">
        <v>3</v>
      </c>
      <c r="M42" s="5">
        <v>34107</v>
      </c>
      <c r="N42" s="5">
        <v>17509</v>
      </c>
      <c r="O42" s="5">
        <v>30245</v>
      </c>
      <c r="P42" s="5">
        <v>212375</v>
      </c>
      <c r="Q42" s="5">
        <v>62704</v>
      </c>
      <c r="R42" s="5">
        <v>48524</v>
      </c>
      <c r="S42" s="5">
        <v>407439</v>
      </c>
      <c r="T42" s="5">
        <v>10967110</v>
      </c>
      <c r="U42" s="5">
        <v>1655056</v>
      </c>
      <c r="V42" s="5" t="s">
        <v>3</v>
      </c>
      <c r="W42" s="14" t="s">
        <v>564</v>
      </c>
      <c r="X42" s="14" t="s">
        <v>564</v>
      </c>
      <c r="Y42" s="14" t="s">
        <v>564</v>
      </c>
      <c r="Z42" s="40">
        <v>943143</v>
      </c>
      <c r="AA42" s="6">
        <v>3914864</v>
      </c>
      <c r="AB42" s="6" t="s">
        <v>3</v>
      </c>
      <c r="AC42" s="8">
        <v>163420</v>
      </c>
      <c r="AD42" s="8" t="s">
        <v>3</v>
      </c>
      <c r="AE42" s="3">
        <v>121828</v>
      </c>
      <c r="AF42" s="3" t="s">
        <v>3</v>
      </c>
      <c r="AG42" s="3">
        <v>1504</v>
      </c>
      <c r="AH42" s="3" t="s">
        <v>3</v>
      </c>
      <c r="AI42" s="1">
        <v>8663</v>
      </c>
      <c r="AJ42" s="1" t="s">
        <v>564</v>
      </c>
      <c r="AK42" s="2">
        <v>15430</v>
      </c>
      <c r="AL42" s="1" t="s">
        <v>3</v>
      </c>
      <c r="AM42" s="1" t="s">
        <v>564</v>
      </c>
      <c r="AN42" s="64" t="s">
        <v>564</v>
      </c>
      <c r="AO42" s="64" t="s">
        <v>564</v>
      </c>
      <c r="AP42" s="64" t="s">
        <v>564</v>
      </c>
      <c r="AQ42" s="64" t="s">
        <v>564</v>
      </c>
      <c r="AR42" s="64" t="s">
        <v>564</v>
      </c>
      <c r="AS42" s="42" t="s">
        <v>3</v>
      </c>
      <c r="AT42" s="42" t="s">
        <v>3</v>
      </c>
      <c r="AU42" s="42" t="s">
        <v>3</v>
      </c>
      <c r="AV42" s="42" t="s">
        <v>3</v>
      </c>
      <c r="AW42" s="53">
        <v>107436</v>
      </c>
      <c r="AX42" s="53" t="s">
        <v>3</v>
      </c>
      <c r="AY42" s="57" t="s">
        <v>3</v>
      </c>
      <c r="AZ42" s="57" t="s">
        <v>3</v>
      </c>
      <c r="BA42" s="121" t="s">
        <v>3</v>
      </c>
      <c r="BB42" s="4" t="s">
        <v>3</v>
      </c>
      <c r="BC42" s="38" t="s">
        <v>3</v>
      </c>
      <c r="BD42" s="3" t="s">
        <v>3</v>
      </c>
    </row>
    <row r="43" spans="1:56" ht="15" customHeight="1" x14ac:dyDescent="0.25">
      <c r="A43" s="38" t="s">
        <v>8</v>
      </c>
      <c r="B43" s="38" t="s">
        <v>138</v>
      </c>
      <c r="C43" s="38" t="s">
        <v>179</v>
      </c>
      <c r="D43" s="48">
        <v>424.184708</v>
      </c>
      <c r="E43" s="92">
        <f t="shared" si="0"/>
        <v>39.583333333333329</v>
      </c>
      <c r="F43" s="12" t="s">
        <v>3</v>
      </c>
      <c r="G43" s="12" t="s">
        <v>3</v>
      </c>
      <c r="H43" s="12" t="s">
        <v>3</v>
      </c>
      <c r="I43" s="11" t="s">
        <v>3</v>
      </c>
      <c r="J43" s="11" t="s">
        <v>3</v>
      </c>
      <c r="K43" s="114" t="s">
        <v>3</v>
      </c>
      <c r="L43" s="4">
        <v>2263</v>
      </c>
      <c r="M43" s="5">
        <v>27780</v>
      </c>
      <c r="N43" s="5">
        <v>15563</v>
      </c>
      <c r="O43" s="5">
        <v>13930</v>
      </c>
      <c r="P43" s="5">
        <v>133298</v>
      </c>
      <c r="Q43" s="4">
        <v>19155</v>
      </c>
      <c r="R43" s="5">
        <v>27213</v>
      </c>
      <c r="S43" s="5">
        <v>537806</v>
      </c>
      <c r="T43" s="5">
        <v>9068813</v>
      </c>
      <c r="U43" s="4">
        <v>1014724</v>
      </c>
      <c r="V43" s="5">
        <v>6913</v>
      </c>
      <c r="W43" s="13">
        <v>1143591</v>
      </c>
      <c r="X43" s="14">
        <v>3443340</v>
      </c>
      <c r="Y43" s="14" t="s">
        <v>3</v>
      </c>
      <c r="Z43" s="39" t="s">
        <v>3</v>
      </c>
      <c r="AA43" s="7">
        <v>16770335</v>
      </c>
      <c r="AB43" s="7" t="s">
        <v>3</v>
      </c>
      <c r="AC43" s="8">
        <v>1266986</v>
      </c>
      <c r="AD43" s="9" t="s">
        <v>3</v>
      </c>
      <c r="AE43" s="3">
        <v>698448</v>
      </c>
      <c r="AF43" s="3" t="s">
        <v>3</v>
      </c>
      <c r="AG43" s="3">
        <v>8372</v>
      </c>
      <c r="AH43" s="3" t="s">
        <v>3</v>
      </c>
      <c r="AI43" s="1" t="s">
        <v>3</v>
      </c>
      <c r="AJ43" s="1" t="s">
        <v>3</v>
      </c>
      <c r="AK43" s="1" t="s">
        <v>3</v>
      </c>
      <c r="AL43" s="1" t="s">
        <v>3</v>
      </c>
      <c r="AM43" s="1" t="s">
        <v>3</v>
      </c>
      <c r="AN43" s="64" t="s">
        <v>3</v>
      </c>
      <c r="AO43" s="64" t="s">
        <v>3</v>
      </c>
      <c r="AP43" s="64" t="s">
        <v>3</v>
      </c>
      <c r="AQ43" s="64" t="s">
        <v>3</v>
      </c>
      <c r="AR43" s="64" t="s">
        <v>3</v>
      </c>
      <c r="AS43" s="42" t="s">
        <v>3</v>
      </c>
      <c r="AT43" s="42" t="s">
        <v>3</v>
      </c>
      <c r="AU43" s="42" t="s">
        <v>3</v>
      </c>
      <c r="AV43" s="42" t="s">
        <v>3</v>
      </c>
      <c r="AW43" s="53">
        <v>36094</v>
      </c>
      <c r="AX43" s="53" t="s">
        <v>3</v>
      </c>
      <c r="AY43" s="57">
        <v>131114</v>
      </c>
      <c r="AZ43" s="57" t="s">
        <v>3</v>
      </c>
      <c r="BA43" s="121" t="s">
        <v>3</v>
      </c>
      <c r="BB43" s="4" t="s">
        <v>3</v>
      </c>
      <c r="BC43" s="38" t="s">
        <v>3</v>
      </c>
      <c r="BD43" s="3">
        <v>6580</v>
      </c>
    </row>
    <row r="44" spans="1:56" ht="15" customHeight="1" x14ac:dyDescent="0.25">
      <c r="A44" s="38" t="s">
        <v>8</v>
      </c>
      <c r="B44" s="38" t="s">
        <v>139</v>
      </c>
      <c r="C44" s="38" t="s">
        <v>179</v>
      </c>
      <c r="D44" s="48">
        <v>405.14360599999998</v>
      </c>
      <c r="E44" s="92">
        <f t="shared" si="0"/>
        <v>37.5</v>
      </c>
      <c r="F44" s="12" t="s">
        <v>564</v>
      </c>
      <c r="G44" s="12" t="s">
        <v>564</v>
      </c>
      <c r="H44" s="12" t="s">
        <v>564</v>
      </c>
      <c r="I44" s="11" t="s">
        <v>3</v>
      </c>
      <c r="J44" s="11" t="s">
        <v>3</v>
      </c>
      <c r="K44" s="115">
        <v>82008</v>
      </c>
      <c r="L44" s="5" t="s">
        <v>3</v>
      </c>
      <c r="M44" s="5">
        <v>20249</v>
      </c>
      <c r="N44" s="5">
        <f>15736</f>
        <v>15736</v>
      </c>
      <c r="O44" s="5">
        <v>18845</v>
      </c>
      <c r="P44" s="5">
        <v>79286</v>
      </c>
      <c r="Q44" s="5">
        <v>33586</v>
      </c>
      <c r="R44" s="5">
        <v>27282</v>
      </c>
      <c r="S44" s="5">
        <v>351184</v>
      </c>
      <c r="T44" s="5">
        <v>8255887</v>
      </c>
      <c r="U44" s="5">
        <v>678236</v>
      </c>
      <c r="V44" s="5" t="s">
        <v>3</v>
      </c>
      <c r="W44" s="14" t="s">
        <v>564</v>
      </c>
      <c r="X44" s="14" t="s">
        <v>564</v>
      </c>
      <c r="Y44" s="14" t="s">
        <v>564</v>
      </c>
      <c r="Z44" s="40">
        <v>950769</v>
      </c>
      <c r="AA44" s="6">
        <v>4105917</v>
      </c>
      <c r="AB44" s="6" t="s">
        <v>3</v>
      </c>
      <c r="AC44" s="8">
        <f>202343</f>
        <v>202343</v>
      </c>
      <c r="AD44" s="8" t="s">
        <v>3</v>
      </c>
      <c r="AE44" s="3">
        <v>90820</v>
      </c>
      <c r="AF44" s="3" t="s">
        <v>3</v>
      </c>
      <c r="AG44" s="3">
        <v>1500</v>
      </c>
      <c r="AH44" s="3" t="s">
        <v>3</v>
      </c>
      <c r="AI44" s="1">
        <v>5704</v>
      </c>
      <c r="AJ44" s="1" t="s">
        <v>564</v>
      </c>
      <c r="AK44" s="2">
        <v>20509</v>
      </c>
      <c r="AL44" s="2">
        <v>6189</v>
      </c>
      <c r="AM44" s="1" t="s">
        <v>564</v>
      </c>
      <c r="AN44" s="64" t="s">
        <v>564</v>
      </c>
      <c r="AO44" s="64" t="s">
        <v>564</v>
      </c>
      <c r="AP44" s="64" t="s">
        <v>564</v>
      </c>
      <c r="AQ44" s="64" t="s">
        <v>564</v>
      </c>
      <c r="AR44" s="64" t="s">
        <v>564</v>
      </c>
      <c r="AS44" s="42" t="s">
        <v>3</v>
      </c>
      <c r="AT44" s="42" t="s">
        <v>3</v>
      </c>
      <c r="AU44" s="42" t="s">
        <v>3</v>
      </c>
      <c r="AV44" s="42" t="s">
        <v>3</v>
      </c>
      <c r="AW44" s="53">
        <v>158495</v>
      </c>
      <c r="AX44" s="53" t="s">
        <v>3</v>
      </c>
      <c r="AY44" s="57" t="s">
        <v>3</v>
      </c>
      <c r="AZ44" s="57" t="s">
        <v>3</v>
      </c>
      <c r="BA44" s="121" t="s">
        <v>3</v>
      </c>
      <c r="BB44" s="4" t="s">
        <v>3</v>
      </c>
      <c r="BC44" s="38" t="s">
        <v>3</v>
      </c>
      <c r="BD44" s="3" t="s">
        <v>3</v>
      </c>
    </row>
    <row r="45" spans="1:56" ht="15" customHeight="1" x14ac:dyDescent="0.25">
      <c r="A45" s="38" t="s">
        <v>9</v>
      </c>
      <c r="B45" s="38" t="s">
        <v>138</v>
      </c>
      <c r="C45" s="38" t="s">
        <v>180</v>
      </c>
      <c r="D45" s="48">
        <v>468.21092299999998</v>
      </c>
      <c r="E45" s="92">
        <f t="shared" si="0"/>
        <v>45.833333333333329</v>
      </c>
      <c r="F45" s="12" t="s">
        <v>3</v>
      </c>
      <c r="G45" s="12" t="s">
        <v>3</v>
      </c>
      <c r="H45" s="12" t="s">
        <v>3</v>
      </c>
      <c r="I45" s="11" t="s">
        <v>3</v>
      </c>
      <c r="J45" s="11" t="s">
        <v>3</v>
      </c>
      <c r="K45" s="114" t="s">
        <v>3</v>
      </c>
      <c r="L45" s="4">
        <v>2914</v>
      </c>
      <c r="M45" s="5">
        <v>35953</v>
      </c>
      <c r="N45" s="5">
        <v>23884</v>
      </c>
      <c r="O45" s="5">
        <v>21340</v>
      </c>
      <c r="P45" s="5">
        <v>204705</v>
      </c>
      <c r="Q45" s="4">
        <v>39131</v>
      </c>
      <c r="R45" s="5">
        <v>32123</v>
      </c>
      <c r="S45" s="5">
        <v>592341</v>
      </c>
      <c r="T45" s="5">
        <v>14190548</v>
      </c>
      <c r="U45" s="5">
        <v>516016</v>
      </c>
      <c r="V45" s="4">
        <v>9738</v>
      </c>
      <c r="W45" s="14">
        <v>1737627</v>
      </c>
      <c r="X45" s="14">
        <v>5386990</v>
      </c>
      <c r="Y45" s="14" t="s">
        <v>3</v>
      </c>
      <c r="Z45" s="39" t="s">
        <v>3</v>
      </c>
      <c r="AA45" s="7">
        <v>17269212</v>
      </c>
      <c r="AB45" s="7" t="s">
        <v>3</v>
      </c>
      <c r="AC45" s="9">
        <v>1093579</v>
      </c>
      <c r="AD45" s="9" t="s">
        <v>3</v>
      </c>
      <c r="AE45" s="3">
        <v>642240</v>
      </c>
      <c r="AF45" s="3" t="s">
        <v>3</v>
      </c>
      <c r="AG45" s="3">
        <v>9920</v>
      </c>
      <c r="AH45" s="3" t="s">
        <v>3</v>
      </c>
      <c r="AI45" s="1">
        <v>5261</v>
      </c>
      <c r="AJ45" s="1">
        <v>2959</v>
      </c>
      <c r="AK45" s="1">
        <v>9166</v>
      </c>
      <c r="AL45" s="1" t="s">
        <v>3</v>
      </c>
      <c r="AM45" s="1" t="s">
        <v>3</v>
      </c>
      <c r="AN45" s="64" t="s">
        <v>3</v>
      </c>
      <c r="AO45" s="64" t="s">
        <v>3</v>
      </c>
      <c r="AP45" s="64" t="s">
        <v>3</v>
      </c>
      <c r="AQ45" s="64" t="s">
        <v>3</v>
      </c>
      <c r="AR45" s="64" t="s">
        <v>3</v>
      </c>
      <c r="AS45" s="42" t="s">
        <v>3</v>
      </c>
      <c r="AT45" s="42" t="s">
        <v>3</v>
      </c>
      <c r="AU45" s="42" t="s">
        <v>3</v>
      </c>
      <c r="AV45" s="42" t="s">
        <v>3</v>
      </c>
      <c r="AW45" s="53">
        <v>48315</v>
      </c>
      <c r="AX45" s="53" t="s">
        <v>3</v>
      </c>
      <c r="AY45" s="57">
        <v>189079</v>
      </c>
      <c r="AZ45" s="57" t="s">
        <v>3</v>
      </c>
      <c r="BA45" s="121" t="s">
        <v>3</v>
      </c>
      <c r="BB45" s="4" t="s">
        <v>3</v>
      </c>
      <c r="BC45" s="38" t="s">
        <v>3</v>
      </c>
      <c r="BD45" s="3">
        <v>5184</v>
      </c>
    </row>
    <row r="46" spans="1:56" ht="15" customHeight="1" x14ac:dyDescent="0.25">
      <c r="A46" s="38" t="s">
        <v>9</v>
      </c>
      <c r="B46" s="38" t="s">
        <v>139</v>
      </c>
      <c r="C46" s="38" t="s">
        <v>180</v>
      </c>
      <c r="D46" s="48">
        <v>449.16982100000001</v>
      </c>
      <c r="E46" s="92">
        <f t="shared" si="0"/>
        <v>35.416666666666671</v>
      </c>
      <c r="F46" s="12" t="s">
        <v>564</v>
      </c>
      <c r="G46" s="12" t="s">
        <v>564</v>
      </c>
      <c r="H46" s="12" t="s">
        <v>564</v>
      </c>
      <c r="I46" s="11" t="s">
        <v>3</v>
      </c>
      <c r="J46" s="11" t="s">
        <v>3</v>
      </c>
      <c r="K46" s="115">
        <v>60851</v>
      </c>
      <c r="L46" s="5" t="s">
        <v>3</v>
      </c>
      <c r="M46" s="5">
        <v>18290</v>
      </c>
      <c r="N46" s="5">
        <v>12444</v>
      </c>
      <c r="O46" s="5">
        <v>11272</v>
      </c>
      <c r="P46" s="5">
        <v>99891</v>
      </c>
      <c r="Q46" s="5">
        <v>28857</v>
      </c>
      <c r="R46" s="5">
        <v>29089</v>
      </c>
      <c r="S46" s="5">
        <v>279893</v>
      </c>
      <c r="T46" s="5">
        <v>7430653</v>
      </c>
      <c r="U46" s="5">
        <v>219809</v>
      </c>
      <c r="V46" s="5" t="s">
        <v>3</v>
      </c>
      <c r="W46" s="14" t="s">
        <v>564</v>
      </c>
      <c r="X46" s="14" t="s">
        <v>564</v>
      </c>
      <c r="Y46" s="14" t="s">
        <v>564</v>
      </c>
      <c r="Z46" s="40">
        <v>615991</v>
      </c>
      <c r="AA46" s="6">
        <v>3902655</v>
      </c>
      <c r="AB46" s="6" t="s">
        <v>3</v>
      </c>
      <c r="AC46" s="8">
        <v>133037</v>
      </c>
      <c r="AD46" s="8" t="s">
        <v>3</v>
      </c>
      <c r="AE46" s="3">
        <v>91608</v>
      </c>
      <c r="AF46" s="3" t="s">
        <v>3</v>
      </c>
      <c r="AG46" s="3">
        <v>940</v>
      </c>
      <c r="AH46" s="3" t="s">
        <v>3</v>
      </c>
      <c r="AI46" s="1">
        <v>3793</v>
      </c>
      <c r="AJ46" s="1" t="s">
        <v>564</v>
      </c>
      <c r="AK46" s="2">
        <v>17255</v>
      </c>
      <c r="AL46" s="2">
        <v>7720</v>
      </c>
      <c r="AM46" s="1" t="s">
        <v>564</v>
      </c>
      <c r="AN46" s="64" t="s">
        <v>564</v>
      </c>
      <c r="AO46" s="64" t="s">
        <v>564</v>
      </c>
      <c r="AP46" s="64" t="s">
        <v>564</v>
      </c>
      <c r="AQ46" s="64" t="s">
        <v>564</v>
      </c>
      <c r="AR46" s="64" t="s">
        <v>564</v>
      </c>
      <c r="AS46" s="42" t="s">
        <v>3</v>
      </c>
      <c r="AT46" s="42" t="s">
        <v>3</v>
      </c>
      <c r="AU46" s="42" t="s">
        <v>3</v>
      </c>
      <c r="AV46" s="42" t="s">
        <v>3</v>
      </c>
      <c r="AW46" s="53" t="s">
        <v>3</v>
      </c>
      <c r="AX46" s="53" t="s">
        <v>3</v>
      </c>
      <c r="AY46" s="57" t="s">
        <v>3</v>
      </c>
      <c r="AZ46" s="57" t="s">
        <v>3</v>
      </c>
      <c r="BA46" s="121" t="s">
        <v>3</v>
      </c>
      <c r="BB46" s="4" t="s">
        <v>3</v>
      </c>
      <c r="BC46" s="38" t="s">
        <v>3</v>
      </c>
      <c r="BD46" s="3" t="s">
        <v>3</v>
      </c>
    </row>
    <row r="47" spans="1:56" ht="15" customHeight="1" x14ac:dyDescent="0.25">
      <c r="A47" s="38" t="s">
        <v>10</v>
      </c>
      <c r="B47" s="38" t="s">
        <v>138</v>
      </c>
      <c r="C47" s="38" t="s">
        <v>181</v>
      </c>
      <c r="D47" s="48">
        <v>512.23713799999996</v>
      </c>
      <c r="E47" s="92">
        <f t="shared" si="0"/>
        <v>45.833333333333329</v>
      </c>
      <c r="F47" s="12" t="s">
        <v>3</v>
      </c>
      <c r="G47" s="12" t="s">
        <v>3</v>
      </c>
      <c r="H47" s="12" t="s">
        <v>3</v>
      </c>
      <c r="I47" s="11" t="s">
        <v>3</v>
      </c>
      <c r="J47" s="11" t="s">
        <v>3</v>
      </c>
      <c r="K47" s="114" t="s">
        <v>3</v>
      </c>
      <c r="L47" s="4">
        <v>2686</v>
      </c>
      <c r="M47" s="5">
        <v>21395</v>
      </c>
      <c r="N47" s="5">
        <v>19084</v>
      </c>
      <c r="O47" s="5">
        <v>27568</v>
      </c>
      <c r="P47" s="5">
        <v>255291</v>
      </c>
      <c r="Q47" s="4">
        <v>31768</v>
      </c>
      <c r="R47" s="5">
        <v>30511</v>
      </c>
      <c r="S47" s="5">
        <v>344518</v>
      </c>
      <c r="T47" s="5">
        <v>13099586</v>
      </c>
      <c r="U47" s="4">
        <v>415270</v>
      </c>
      <c r="V47" s="4">
        <v>9302</v>
      </c>
      <c r="W47" s="14">
        <v>1450903</v>
      </c>
      <c r="X47" s="14">
        <v>4238528</v>
      </c>
      <c r="Y47" s="14" t="s">
        <v>3</v>
      </c>
      <c r="Z47" s="39" t="s">
        <v>3</v>
      </c>
      <c r="AA47" s="7">
        <v>11050623</v>
      </c>
      <c r="AB47" s="7" t="s">
        <v>3</v>
      </c>
      <c r="AC47" s="9">
        <v>745651</v>
      </c>
      <c r="AD47" s="9" t="s">
        <v>3</v>
      </c>
      <c r="AE47" s="3">
        <v>873900</v>
      </c>
      <c r="AF47" s="3" t="s">
        <v>3</v>
      </c>
      <c r="AG47" s="3">
        <v>13456</v>
      </c>
      <c r="AH47" s="3" t="s">
        <v>3</v>
      </c>
      <c r="AI47" s="1">
        <v>8123</v>
      </c>
      <c r="AJ47" s="1">
        <v>1970</v>
      </c>
      <c r="AK47" s="1">
        <v>20149</v>
      </c>
      <c r="AL47" s="1" t="s">
        <v>3</v>
      </c>
      <c r="AM47" s="1" t="s">
        <v>3</v>
      </c>
      <c r="AN47" s="64" t="s">
        <v>3</v>
      </c>
      <c r="AO47" s="64" t="s">
        <v>3</v>
      </c>
      <c r="AP47" s="64" t="s">
        <v>3</v>
      </c>
      <c r="AQ47" s="64" t="s">
        <v>3</v>
      </c>
      <c r="AR47" s="64" t="s">
        <v>3</v>
      </c>
      <c r="AS47" s="42" t="s">
        <v>3</v>
      </c>
      <c r="AT47" s="42" t="s">
        <v>3</v>
      </c>
      <c r="AU47" s="42" t="s">
        <v>3</v>
      </c>
      <c r="AV47" s="42" t="s">
        <v>3</v>
      </c>
      <c r="AW47" s="53">
        <v>65741</v>
      </c>
      <c r="AX47" s="53" t="s">
        <v>3</v>
      </c>
      <c r="AY47" s="57">
        <v>282054</v>
      </c>
      <c r="AZ47" s="57" t="s">
        <v>3</v>
      </c>
      <c r="BA47" s="121" t="s">
        <v>3</v>
      </c>
      <c r="BB47" s="4" t="s">
        <v>3</v>
      </c>
      <c r="BC47" s="38" t="s">
        <v>3</v>
      </c>
      <c r="BD47" s="3">
        <v>8144</v>
      </c>
    </row>
    <row r="48" spans="1:56" ht="15" customHeight="1" x14ac:dyDescent="0.25">
      <c r="A48" s="38" t="s">
        <v>10</v>
      </c>
      <c r="B48" s="38" t="s">
        <v>139</v>
      </c>
      <c r="C48" s="38" t="s">
        <v>181</v>
      </c>
      <c r="D48" s="48">
        <v>493.19603599999999</v>
      </c>
      <c r="E48" s="92">
        <f t="shared" si="0"/>
        <v>35.416666666666671</v>
      </c>
      <c r="F48" s="12" t="s">
        <v>564</v>
      </c>
      <c r="G48" s="12" t="s">
        <v>564</v>
      </c>
      <c r="H48" s="12" t="s">
        <v>564</v>
      </c>
      <c r="I48" s="11" t="s">
        <v>3</v>
      </c>
      <c r="J48" s="11" t="s">
        <v>3</v>
      </c>
      <c r="K48" s="115">
        <v>42957</v>
      </c>
      <c r="L48" s="5" t="s">
        <v>3</v>
      </c>
      <c r="M48" s="5">
        <v>12009</v>
      </c>
      <c r="N48" s="5">
        <v>8557</v>
      </c>
      <c r="O48" s="5">
        <v>8552</v>
      </c>
      <c r="P48" s="5">
        <v>67853</v>
      </c>
      <c r="Q48" s="5">
        <v>15057</v>
      </c>
      <c r="R48" s="5">
        <v>17349</v>
      </c>
      <c r="S48" s="5">
        <v>156546</v>
      </c>
      <c r="T48" s="5">
        <v>6247949</v>
      </c>
      <c r="U48" s="5">
        <v>131020</v>
      </c>
      <c r="V48" s="5" t="s">
        <v>3</v>
      </c>
      <c r="W48" s="14" t="s">
        <v>564</v>
      </c>
      <c r="X48" s="14" t="s">
        <v>564</v>
      </c>
      <c r="Y48" s="14" t="s">
        <v>564</v>
      </c>
      <c r="Z48" s="40">
        <v>650644</v>
      </c>
      <c r="AA48" s="6">
        <v>2488462</v>
      </c>
      <c r="AB48" s="6" t="s">
        <v>3</v>
      </c>
      <c r="AC48" s="8">
        <v>124225</v>
      </c>
      <c r="AD48" s="8" t="s">
        <v>3</v>
      </c>
      <c r="AE48" s="3">
        <v>74156</v>
      </c>
      <c r="AF48" s="3" t="s">
        <v>3</v>
      </c>
      <c r="AG48" s="3">
        <v>1332</v>
      </c>
      <c r="AH48" s="3" t="s">
        <v>3</v>
      </c>
      <c r="AI48" s="1">
        <v>2741</v>
      </c>
      <c r="AJ48" s="1" t="s">
        <v>564</v>
      </c>
      <c r="AK48" s="2">
        <v>17738</v>
      </c>
      <c r="AL48" s="2">
        <v>5000</v>
      </c>
      <c r="AM48" s="1" t="s">
        <v>564</v>
      </c>
      <c r="AN48" s="64" t="s">
        <v>564</v>
      </c>
      <c r="AO48" s="64" t="s">
        <v>564</v>
      </c>
      <c r="AP48" s="64" t="s">
        <v>564</v>
      </c>
      <c r="AQ48" s="64" t="s">
        <v>564</v>
      </c>
      <c r="AR48" s="64" t="s">
        <v>564</v>
      </c>
      <c r="AS48" s="42" t="s">
        <v>3</v>
      </c>
      <c r="AT48" s="42" t="s">
        <v>3</v>
      </c>
      <c r="AU48" s="42" t="s">
        <v>3</v>
      </c>
      <c r="AV48" s="42" t="s">
        <v>3</v>
      </c>
      <c r="AW48" s="53" t="s">
        <v>3</v>
      </c>
      <c r="AX48" s="53" t="s">
        <v>3</v>
      </c>
      <c r="AY48" s="57" t="s">
        <v>3</v>
      </c>
      <c r="AZ48" s="57" t="s">
        <v>3</v>
      </c>
      <c r="BA48" s="121" t="s">
        <v>3</v>
      </c>
      <c r="BB48" s="4" t="s">
        <v>3</v>
      </c>
      <c r="BC48" s="38" t="s">
        <v>3</v>
      </c>
      <c r="BD48" s="3" t="s">
        <v>3</v>
      </c>
    </row>
    <row r="49" spans="1:56" ht="15" customHeight="1" x14ac:dyDescent="0.25">
      <c r="A49" s="38" t="s">
        <v>11</v>
      </c>
      <c r="B49" s="38" t="s">
        <v>138</v>
      </c>
      <c r="C49" s="38" t="s">
        <v>182</v>
      </c>
      <c r="D49" s="48">
        <v>556.26335300000005</v>
      </c>
      <c r="E49" s="92">
        <f t="shared" si="0"/>
        <v>41.666666666666671</v>
      </c>
      <c r="F49" s="12" t="s">
        <v>3</v>
      </c>
      <c r="G49" s="12" t="s">
        <v>3</v>
      </c>
      <c r="H49" s="12" t="s">
        <v>3</v>
      </c>
      <c r="I49" s="11" t="s">
        <v>3</v>
      </c>
      <c r="J49" s="11" t="s">
        <v>3</v>
      </c>
      <c r="K49" s="114" t="s">
        <v>3</v>
      </c>
      <c r="L49" s="5">
        <v>4585</v>
      </c>
      <c r="M49" s="5">
        <v>30040</v>
      </c>
      <c r="N49" s="5">
        <v>16376</v>
      </c>
      <c r="O49" s="5">
        <v>28025</v>
      </c>
      <c r="P49" s="5">
        <v>225627</v>
      </c>
      <c r="Q49" s="4">
        <v>34080</v>
      </c>
      <c r="R49" s="5">
        <v>25146</v>
      </c>
      <c r="S49" s="5">
        <v>281246</v>
      </c>
      <c r="T49" s="5">
        <v>11970981</v>
      </c>
      <c r="U49" s="4">
        <v>403423</v>
      </c>
      <c r="V49" s="4">
        <v>10498</v>
      </c>
      <c r="W49" s="14">
        <v>1198947</v>
      </c>
      <c r="X49" s="14">
        <v>3120957</v>
      </c>
      <c r="Y49" s="14" t="s">
        <v>3</v>
      </c>
      <c r="Z49" s="39" t="s">
        <v>3</v>
      </c>
      <c r="AA49" s="7">
        <v>5051235</v>
      </c>
      <c r="AB49" s="7" t="s">
        <v>3</v>
      </c>
      <c r="AC49" s="9">
        <v>469726</v>
      </c>
      <c r="AD49" s="9" t="s">
        <v>3</v>
      </c>
      <c r="AE49" s="3">
        <v>575208</v>
      </c>
      <c r="AF49" s="3" t="s">
        <v>3</v>
      </c>
      <c r="AG49" s="3">
        <v>10608</v>
      </c>
      <c r="AH49" s="3" t="s">
        <v>3</v>
      </c>
      <c r="AI49" s="1">
        <v>6679</v>
      </c>
      <c r="AJ49" s="1">
        <v>2999</v>
      </c>
      <c r="AK49" s="1">
        <v>21504</v>
      </c>
      <c r="AL49" s="1" t="s">
        <v>3</v>
      </c>
      <c r="AM49" s="1" t="s">
        <v>3</v>
      </c>
      <c r="AN49" s="64" t="s">
        <v>3</v>
      </c>
      <c r="AO49" s="64" t="s">
        <v>3</v>
      </c>
      <c r="AP49" s="64" t="s">
        <v>3</v>
      </c>
      <c r="AQ49" s="64" t="s">
        <v>3</v>
      </c>
      <c r="AR49" s="64" t="s">
        <v>3</v>
      </c>
      <c r="AS49" s="42" t="s">
        <v>3</v>
      </c>
      <c r="AT49" s="42" t="s">
        <v>3</v>
      </c>
      <c r="AU49" s="42" t="s">
        <v>3</v>
      </c>
      <c r="AV49" s="42" t="s">
        <v>3</v>
      </c>
      <c r="AW49" s="53" t="s">
        <v>3</v>
      </c>
      <c r="AX49" s="53" t="s">
        <v>3</v>
      </c>
      <c r="AY49" s="57" t="s">
        <v>3</v>
      </c>
      <c r="AZ49" s="57" t="s">
        <v>3</v>
      </c>
      <c r="BA49" s="121" t="s">
        <v>3</v>
      </c>
      <c r="BB49" s="4" t="s">
        <v>3</v>
      </c>
      <c r="BC49" s="38" t="s">
        <v>3</v>
      </c>
      <c r="BD49" s="3">
        <v>3104</v>
      </c>
    </row>
    <row r="50" spans="1:56" ht="15" customHeight="1" x14ac:dyDescent="0.25">
      <c r="A50" s="38" t="s">
        <v>11</v>
      </c>
      <c r="B50" s="38" t="s">
        <v>139</v>
      </c>
      <c r="C50" s="38" t="s">
        <v>182</v>
      </c>
      <c r="D50" s="48">
        <v>537.22225100000003</v>
      </c>
      <c r="E50" s="92">
        <f t="shared" si="0"/>
        <v>33.333333333333329</v>
      </c>
      <c r="F50" s="12" t="s">
        <v>564</v>
      </c>
      <c r="G50" s="12" t="s">
        <v>564</v>
      </c>
      <c r="H50" s="12" t="s">
        <v>564</v>
      </c>
      <c r="I50" s="11" t="s">
        <v>3</v>
      </c>
      <c r="J50" s="11" t="s">
        <v>3</v>
      </c>
      <c r="K50" s="115">
        <v>25671</v>
      </c>
      <c r="L50" s="5" t="s">
        <v>3</v>
      </c>
      <c r="M50" s="5">
        <v>8733</v>
      </c>
      <c r="N50" s="5">
        <v>5407</v>
      </c>
      <c r="O50" s="5">
        <v>8352</v>
      </c>
      <c r="P50" s="5">
        <v>64973</v>
      </c>
      <c r="Q50" s="5">
        <v>14109</v>
      </c>
      <c r="R50" s="5">
        <v>13401</v>
      </c>
      <c r="S50" s="5">
        <v>95585</v>
      </c>
      <c r="T50" s="5">
        <v>4830293</v>
      </c>
      <c r="U50" s="5">
        <v>141617</v>
      </c>
      <c r="V50" s="5" t="s">
        <v>3</v>
      </c>
      <c r="W50" s="14" t="s">
        <v>564</v>
      </c>
      <c r="X50" s="14" t="s">
        <v>564</v>
      </c>
      <c r="Y50" s="14" t="s">
        <v>564</v>
      </c>
      <c r="Z50" s="40">
        <v>518919</v>
      </c>
      <c r="AA50" s="6">
        <v>1660070</v>
      </c>
      <c r="AB50" s="6" t="s">
        <v>3</v>
      </c>
      <c r="AC50" s="8" t="s">
        <v>3</v>
      </c>
      <c r="AD50" s="8" t="s">
        <v>3</v>
      </c>
      <c r="AE50" s="3">
        <v>52256</v>
      </c>
      <c r="AF50" s="3" t="s">
        <v>3</v>
      </c>
      <c r="AG50" s="3">
        <v>936</v>
      </c>
      <c r="AH50" s="3" t="s">
        <v>3</v>
      </c>
      <c r="AI50" s="1">
        <v>2741</v>
      </c>
      <c r="AJ50" s="1" t="s">
        <v>564</v>
      </c>
      <c r="AK50" s="2">
        <v>12814</v>
      </c>
      <c r="AL50" s="2">
        <v>4987</v>
      </c>
      <c r="AM50" s="1" t="s">
        <v>564</v>
      </c>
      <c r="AN50" s="64" t="s">
        <v>564</v>
      </c>
      <c r="AO50" s="64" t="s">
        <v>564</v>
      </c>
      <c r="AP50" s="64" t="s">
        <v>564</v>
      </c>
      <c r="AQ50" s="64" t="s">
        <v>564</v>
      </c>
      <c r="AR50" s="64" t="s">
        <v>564</v>
      </c>
      <c r="AS50" s="42" t="s">
        <v>3</v>
      </c>
      <c r="AT50" s="42" t="s">
        <v>3</v>
      </c>
      <c r="AU50" s="42" t="s">
        <v>3</v>
      </c>
      <c r="AV50" s="42" t="s">
        <v>3</v>
      </c>
      <c r="AW50" s="53" t="s">
        <v>3</v>
      </c>
      <c r="AX50" s="53" t="s">
        <v>3</v>
      </c>
      <c r="AY50" s="57" t="s">
        <v>3</v>
      </c>
      <c r="AZ50" s="57" t="s">
        <v>3</v>
      </c>
      <c r="BA50" s="121" t="s">
        <v>3</v>
      </c>
      <c r="BB50" s="4" t="s">
        <v>3</v>
      </c>
      <c r="BC50" s="38" t="s">
        <v>3</v>
      </c>
      <c r="BD50" s="3" t="s">
        <v>3</v>
      </c>
    </row>
    <row r="51" spans="1:56" ht="15" customHeight="1" x14ac:dyDescent="0.25">
      <c r="A51" s="38" t="s">
        <v>12</v>
      </c>
      <c r="B51" s="38" t="s">
        <v>138</v>
      </c>
      <c r="C51" s="38" t="s">
        <v>183</v>
      </c>
      <c r="D51" s="48">
        <v>600.28956700000003</v>
      </c>
      <c r="E51" s="92">
        <f t="shared" si="0"/>
        <v>39.583333333333329</v>
      </c>
      <c r="F51" s="12" t="s">
        <v>3</v>
      </c>
      <c r="G51" s="12" t="s">
        <v>3</v>
      </c>
      <c r="H51" s="12" t="s">
        <v>3</v>
      </c>
      <c r="I51" s="11" t="s">
        <v>3</v>
      </c>
      <c r="J51" s="11" t="s">
        <v>3</v>
      </c>
      <c r="K51" s="114" t="s">
        <v>3</v>
      </c>
      <c r="L51" s="4" t="s">
        <v>3</v>
      </c>
      <c r="M51" s="4">
        <v>14625</v>
      </c>
      <c r="N51" s="5">
        <v>10005</v>
      </c>
      <c r="O51" s="5">
        <v>10130</v>
      </c>
      <c r="P51" s="5">
        <v>144115</v>
      </c>
      <c r="Q51" s="4">
        <v>21754</v>
      </c>
      <c r="R51" s="5">
        <v>13853</v>
      </c>
      <c r="S51" s="5">
        <v>175139</v>
      </c>
      <c r="T51" s="5">
        <v>6183716</v>
      </c>
      <c r="U51" s="4">
        <v>526417</v>
      </c>
      <c r="V51" s="4" t="s">
        <v>3</v>
      </c>
      <c r="W51" s="14">
        <v>718707</v>
      </c>
      <c r="X51" s="14">
        <v>2432196</v>
      </c>
      <c r="Y51" s="14" t="s">
        <v>3</v>
      </c>
      <c r="Z51" s="39" t="s">
        <v>3</v>
      </c>
      <c r="AA51" s="7">
        <v>1343964</v>
      </c>
      <c r="AB51" s="7" t="s">
        <v>3</v>
      </c>
      <c r="AC51" s="8" t="s">
        <v>3</v>
      </c>
      <c r="AD51" s="9" t="s">
        <v>3</v>
      </c>
      <c r="AE51" s="3">
        <v>167968</v>
      </c>
      <c r="AF51" s="3" t="s">
        <v>3</v>
      </c>
      <c r="AG51" s="3">
        <v>6620</v>
      </c>
      <c r="AH51" s="3" t="s">
        <v>3</v>
      </c>
      <c r="AI51" s="1">
        <v>4746</v>
      </c>
      <c r="AJ51" s="1">
        <v>3040</v>
      </c>
      <c r="AK51" s="1">
        <v>19205</v>
      </c>
      <c r="AL51" s="1" t="s">
        <v>3</v>
      </c>
      <c r="AM51" s="1" t="s">
        <v>3</v>
      </c>
      <c r="AN51" s="64" t="s">
        <v>3</v>
      </c>
      <c r="AO51" s="64" t="s">
        <v>3</v>
      </c>
      <c r="AP51" s="64" t="s">
        <v>3</v>
      </c>
      <c r="AQ51" s="64" t="s">
        <v>3</v>
      </c>
      <c r="AR51" s="64" t="s">
        <v>3</v>
      </c>
      <c r="AS51" s="42" t="s">
        <v>3</v>
      </c>
      <c r="AT51" s="42" t="s">
        <v>3</v>
      </c>
      <c r="AU51" s="42" t="s">
        <v>3</v>
      </c>
      <c r="AV51" s="42" t="s">
        <v>3</v>
      </c>
      <c r="AW51" s="53">
        <v>56756</v>
      </c>
      <c r="AX51" s="53" t="s">
        <v>3</v>
      </c>
      <c r="AY51" s="57">
        <v>149787</v>
      </c>
      <c r="AZ51" s="57" t="s">
        <v>3</v>
      </c>
      <c r="BA51" s="121" t="s">
        <v>3</v>
      </c>
      <c r="BB51" s="4" t="s">
        <v>3</v>
      </c>
      <c r="BC51" s="38" t="s">
        <v>3</v>
      </c>
      <c r="BD51" s="3" t="s">
        <v>3</v>
      </c>
    </row>
    <row r="52" spans="1:56" ht="15" customHeight="1" x14ac:dyDescent="0.25">
      <c r="A52" s="38" t="s">
        <v>12</v>
      </c>
      <c r="B52" s="38" t="s">
        <v>139</v>
      </c>
      <c r="C52" s="38" t="s">
        <v>183</v>
      </c>
      <c r="D52" s="48">
        <v>581.24846500000001</v>
      </c>
      <c r="E52" s="92">
        <f t="shared" si="0"/>
        <v>31.25</v>
      </c>
      <c r="F52" s="12" t="s">
        <v>564</v>
      </c>
      <c r="G52" s="12" t="s">
        <v>564</v>
      </c>
      <c r="H52" s="12" t="s">
        <v>564</v>
      </c>
      <c r="I52" s="11" t="s">
        <v>3</v>
      </c>
      <c r="J52" s="11" t="s">
        <v>3</v>
      </c>
      <c r="K52" s="115">
        <v>15836</v>
      </c>
      <c r="L52" s="5" t="s">
        <v>3</v>
      </c>
      <c r="M52" s="5">
        <v>4835</v>
      </c>
      <c r="N52" s="5">
        <v>3021</v>
      </c>
      <c r="O52" s="5">
        <v>7695</v>
      </c>
      <c r="P52" s="5">
        <v>64885</v>
      </c>
      <c r="Q52" s="5">
        <v>11859</v>
      </c>
      <c r="R52" s="5">
        <v>8430</v>
      </c>
      <c r="S52" s="5">
        <v>126725</v>
      </c>
      <c r="T52" s="5">
        <v>4079816</v>
      </c>
      <c r="U52" s="5">
        <v>222465</v>
      </c>
      <c r="V52" s="5" t="s">
        <v>3</v>
      </c>
      <c r="W52" s="14" t="s">
        <v>564</v>
      </c>
      <c r="X52" s="14" t="s">
        <v>564</v>
      </c>
      <c r="Y52" s="14" t="s">
        <v>564</v>
      </c>
      <c r="Z52" s="40" t="s">
        <v>3</v>
      </c>
      <c r="AA52" s="6">
        <v>1678432</v>
      </c>
      <c r="AB52" s="6" t="s">
        <v>3</v>
      </c>
      <c r="AC52" s="8" t="s">
        <v>3</v>
      </c>
      <c r="AD52" s="8" t="s">
        <v>3</v>
      </c>
      <c r="AE52" s="3">
        <v>41280</v>
      </c>
      <c r="AF52" s="3" t="s">
        <v>3</v>
      </c>
      <c r="AG52" s="3">
        <v>1064</v>
      </c>
      <c r="AH52" s="3" t="s">
        <v>3</v>
      </c>
      <c r="AI52" s="1">
        <v>2247</v>
      </c>
      <c r="AJ52" s="1" t="s">
        <v>564</v>
      </c>
      <c r="AK52" s="2">
        <v>8621</v>
      </c>
      <c r="AL52" s="2">
        <v>6011</v>
      </c>
      <c r="AM52" s="1" t="s">
        <v>564</v>
      </c>
      <c r="AN52" s="64" t="s">
        <v>564</v>
      </c>
      <c r="AO52" s="64" t="s">
        <v>564</v>
      </c>
      <c r="AP52" s="64" t="s">
        <v>564</v>
      </c>
      <c r="AQ52" s="64" t="s">
        <v>564</v>
      </c>
      <c r="AR52" s="64" t="s">
        <v>564</v>
      </c>
      <c r="AS52" s="42" t="s">
        <v>3</v>
      </c>
      <c r="AT52" s="42" t="s">
        <v>3</v>
      </c>
      <c r="AU52" s="42" t="s">
        <v>3</v>
      </c>
      <c r="AV52" s="42" t="s">
        <v>3</v>
      </c>
      <c r="AW52" s="53" t="s">
        <v>3</v>
      </c>
      <c r="AX52" s="53" t="s">
        <v>3</v>
      </c>
      <c r="AY52" s="57" t="s">
        <v>3</v>
      </c>
      <c r="AZ52" s="57" t="s">
        <v>3</v>
      </c>
      <c r="BA52" s="121" t="s">
        <v>3</v>
      </c>
      <c r="BB52" s="4" t="s">
        <v>3</v>
      </c>
      <c r="BC52" s="38" t="s">
        <v>3</v>
      </c>
      <c r="BD52" s="3" t="s">
        <v>3</v>
      </c>
    </row>
    <row r="53" spans="1:56" ht="15" customHeight="1" x14ac:dyDescent="0.25">
      <c r="A53" s="38" t="s">
        <v>13</v>
      </c>
      <c r="B53" s="38" t="s">
        <v>138</v>
      </c>
      <c r="C53" s="38" t="s">
        <v>184</v>
      </c>
      <c r="D53" s="48">
        <v>644.31578200000001</v>
      </c>
      <c r="E53" s="92">
        <f t="shared" si="0"/>
        <v>37.5</v>
      </c>
      <c r="F53" s="12" t="s">
        <v>3</v>
      </c>
      <c r="G53" s="12" t="s">
        <v>3</v>
      </c>
      <c r="H53" s="12" t="s">
        <v>3</v>
      </c>
      <c r="I53" s="11" t="s">
        <v>3</v>
      </c>
      <c r="J53" s="11" t="s">
        <v>3</v>
      </c>
      <c r="K53" s="114" t="s">
        <v>3</v>
      </c>
      <c r="L53" s="4" t="s">
        <v>3</v>
      </c>
      <c r="M53" s="4">
        <v>17367</v>
      </c>
      <c r="N53" s="5">
        <v>11672</v>
      </c>
      <c r="O53" s="5">
        <v>48664</v>
      </c>
      <c r="P53" s="5">
        <v>144773</v>
      </c>
      <c r="Q53" s="4">
        <v>14150</v>
      </c>
      <c r="R53" s="5">
        <v>23774</v>
      </c>
      <c r="S53" s="5">
        <v>184742</v>
      </c>
      <c r="T53" s="5">
        <v>3579243</v>
      </c>
      <c r="U53" s="4">
        <v>462091</v>
      </c>
      <c r="V53" s="4" t="s">
        <v>3</v>
      </c>
      <c r="W53" s="14">
        <v>628459</v>
      </c>
      <c r="X53" s="14">
        <v>2228155</v>
      </c>
      <c r="Y53" s="14" t="s">
        <v>3</v>
      </c>
      <c r="Z53" s="39" t="s">
        <v>3</v>
      </c>
      <c r="AA53" s="7">
        <v>460864</v>
      </c>
      <c r="AB53" s="7" t="s">
        <v>3</v>
      </c>
      <c r="AC53" s="8" t="s">
        <v>3</v>
      </c>
      <c r="AD53" s="9" t="s">
        <v>3</v>
      </c>
      <c r="AE53" s="3">
        <v>39184</v>
      </c>
      <c r="AF53" s="3" t="s">
        <v>3</v>
      </c>
      <c r="AG53" s="3">
        <v>3096</v>
      </c>
      <c r="AH53" s="3" t="s">
        <v>3</v>
      </c>
      <c r="AI53" s="1">
        <v>2033</v>
      </c>
      <c r="AJ53" s="1" t="s">
        <v>3</v>
      </c>
      <c r="AK53" s="1">
        <v>20649</v>
      </c>
      <c r="AL53" s="1" t="s">
        <v>3</v>
      </c>
      <c r="AM53" s="1" t="s">
        <v>3</v>
      </c>
      <c r="AN53" s="64" t="s">
        <v>3</v>
      </c>
      <c r="AO53" s="64" t="s">
        <v>3</v>
      </c>
      <c r="AP53" s="64" t="s">
        <v>3</v>
      </c>
      <c r="AQ53" s="64" t="s">
        <v>3</v>
      </c>
      <c r="AR53" s="64" t="s">
        <v>3</v>
      </c>
      <c r="AS53" s="42" t="s">
        <v>3</v>
      </c>
      <c r="AT53" s="42" t="s">
        <v>3</v>
      </c>
      <c r="AU53" s="42" t="s">
        <v>3</v>
      </c>
      <c r="AV53" s="42" t="s">
        <v>3</v>
      </c>
      <c r="AW53" s="53">
        <v>23503</v>
      </c>
      <c r="AX53" s="53" t="s">
        <v>3</v>
      </c>
      <c r="AY53" s="57">
        <v>144317</v>
      </c>
      <c r="AZ53" s="57" t="s">
        <v>3</v>
      </c>
      <c r="BA53" s="121" t="s">
        <v>3</v>
      </c>
      <c r="BB53" s="4" t="s">
        <v>3</v>
      </c>
      <c r="BC53" s="38" t="s">
        <v>3</v>
      </c>
      <c r="BD53" s="3" t="s">
        <v>3</v>
      </c>
    </row>
    <row r="54" spans="1:56" ht="15" customHeight="1" x14ac:dyDescent="0.25">
      <c r="A54" s="38" t="s">
        <v>13</v>
      </c>
      <c r="B54" s="38" t="s">
        <v>139</v>
      </c>
      <c r="C54" s="38" t="s">
        <v>184</v>
      </c>
      <c r="D54" s="48">
        <v>625.27467999999999</v>
      </c>
      <c r="E54" s="92">
        <f t="shared" si="0"/>
        <v>31.25</v>
      </c>
      <c r="F54" s="12" t="s">
        <v>564</v>
      </c>
      <c r="G54" s="12" t="s">
        <v>564</v>
      </c>
      <c r="H54" s="12" t="s">
        <v>564</v>
      </c>
      <c r="I54" s="11" t="s">
        <v>3</v>
      </c>
      <c r="J54" s="11" t="s">
        <v>3</v>
      </c>
      <c r="K54" s="115">
        <v>20712</v>
      </c>
      <c r="L54" s="5" t="s">
        <v>3</v>
      </c>
      <c r="M54" s="5">
        <v>4168</v>
      </c>
      <c r="N54" s="5">
        <v>3382</v>
      </c>
      <c r="O54" s="5">
        <v>30122</v>
      </c>
      <c r="P54" s="5">
        <v>108432</v>
      </c>
      <c r="Q54" s="5">
        <v>11748</v>
      </c>
      <c r="R54" s="5">
        <v>18131</v>
      </c>
      <c r="S54" s="5">
        <v>142537</v>
      </c>
      <c r="T54" s="5">
        <v>2836072</v>
      </c>
      <c r="U54" s="5">
        <v>344409</v>
      </c>
      <c r="V54" s="5" t="s">
        <v>3</v>
      </c>
      <c r="W54" s="14" t="s">
        <v>564</v>
      </c>
      <c r="X54" s="14" t="s">
        <v>564</v>
      </c>
      <c r="Y54" s="14" t="s">
        <v>564</v>
      </c>
      <c r="Z54" s="40" t="s">
        <v>3</v>
      </c>
      <c r="AA54" s="6">
        <v>1251742</v>
      </c>
      <c r="AB54" s="6" t="s">
        <v>3</v>
      </c>
      <c r="AC54" s="8" t="s">
        <v>3</v>
      </c>
      <c r="AD54" s="8" t="s">
        <v>3</v>
      </c>
      <c r="AE54" s="3">
        <v>23744</v>
      </c>
      <c r="AF54" s="3" t="s">
        <v>3</v>
      </c>
      <c r="AG54" s="3">
        <v>1064</v>
      </c>
      <c r="AH54" s="3" t="s">
        <v>3</v>
      </c>
      <c r="AI54" s="1">
        <v>1379</v>
      </c>
      <c r="AJ54" s="1" t="s">
        <v>564</v>
      </c>
      <c r="AK54" s="2">
        <v>8458</v>
      </c>
      <c r="AL54" s="2">
        <v>4146</v>
      </c>
      <c r="AM54" s="1" t="s">
        <v>564</v>
      </c>
      <c r="AN54" s="64" t="s">
        <v>564</v>
      </c>
      <c r="AO54" s="64" t="s">
        <v>564</v>
      </c>
      <c r="AP54" s="64" t="s">
        <v>564</v>
      </c>
      <c r="AQ54" s="64" t="s">
        <v>564</v>
      </c>
      <c r="AR54" s="64" t="s">
        <v>564</v>
      </c>
      <c r="AS54" s="42" t="s">
        <v>3</v>
      </c>
      <c r="AT54" s="42" t="s">
        <v>3</v>
      </c>
      <c r="AU54" s="42" t="s">
        <v>3</v>
      </c>
      <c r="AV54" s="42" t="s">
        <v>3</v>
      </c>
      <c r="AW54" s="53" t="s">
        <v>3</v>
      </c>
      <c r="AX54" s="53" t="s">
        <v>3</v>
      </c>
      <c r="AY54" s="57" t="s">
        <v>3</v>
      </c>
      <c r="AZ54" s="57" t="s">
        <v>3</v>
      </c>
      <c r="BA54" s="121" t="s">
        <v>3</v>
      </c>
      <c r="BB54" s="4" t="s">
        <v>3</v>
      </c>
      <c r="BC54" s="38" t="s">
        <v>3</v>
      </c>
      <c r="BD54" s="3" t="s">
        <v>3</v>
      </c>
    </row>
    <row r="55" spans="1:56" ht="15" customHeight="1" x14ac:dyDescent="0.25">
      <c r="A55" s="38" t="s">
        <v>14</v>
      </c>
      <c r="B55" s="38" t="s">
        <v>138</v>
      </c>
      <c r="C55" s="38" t="s">
        <v>185</v>
      </c>
      <c r="D55" s="48">
        <v>688.34199699999999</v>
      </c>
      <c r="E55" s="92">
        <f t="shared" si="0"/>
        <v>31.25</v>
      </c>
      <c r="F55" s="12" t="s">
        <v>3</v>
      </c>
      <c r="G55" s="12" t="s">
        <v>3</v>
      </c>
      <c r="H55" s="12" t="s">
        <v>3</v>
      </c>
      <c r="I55" s="11" t="s">
        <v>3</v>
      </c>
      <c r="J55" s="11" t="s">
        <v>3</v>
      </c>
      <c r="K55" s="114" t="s">
        <v>3</v>
      </c>
      <c r="L55" s="4" t="s">
        <v>3</v>
      </c>
      <c r="M55" s="4">
        <v>8720</v>
      </c>
      <c r="N55" s="5">
        <v>9454</v>
      </c>
      <c r="O55" s="5">
        <v>20354</v>
      </c>
      <c r="P55" s="5">
        <v>50541</v>
      </c>
      <c r="Q55" s="4">
        <v>10677</v>
      </c>
      <c r="R55" s="5">
        <v>12885</v>
      </c>
      <c r="S55" s="5">
        <v>84742</v>
      </c>
      <c r="T55" s="5">
        <v>1021572</v>
      </c>
      <c r="U55" s="4">
        <v>92673</v>
      </c>
      <c r="V55" s="4" t="s">
        <v>3</v>
      </c>
      <c r="W55" s="13" t="s">
        <v>3</v>
      </c>
      <c r="X55" s="14">
        <v>1046451</v>
      </c>
      <c r="Y55" s="14" t="s">
        <v>3</v>
      </c>
      <c r="Z55" s="39" t="s">
        <v>3</v>
      </c>
      <c r="AA55" s="7">
        <v>657963</v>
      </c>
      <c r="AB55" s="7" t="s">
        <v>3</v>
      </c>
      <c r="AC55" s="8" t="s">
        <v>3</v>
      </c>
      <c r="AD55" s="9" t="s">
        <v>3</v>
      </c>
      <c r="AE55" s="3">
        <v>11468</v>
      </c>
      <c r="AF55" s="3" t="s">
        <v>3</v>
      </c>
      <c r="AG55" s="3">
        <v>1380</v>
      </c>
      <c r="AH55" s="3" t="s">
        <v>3</v>
      </c>
      <c r="AI55" s="1">
        <v>1191</v>
      </c>
      <c r="AJ55" s="1" t="s">
        <v>3</v>
      </c>
      <c r="AK55" s="1">
        <v>8978</v>
      </c>
      <c r="AL55" s="1" t="s">
        <v>3</v>
      </c>
      <c r="AM55" s="1" t="s">
        <v>3</v>
      </c>
      <c r="AN55" s="64" t="s">
        <v>3</v>
      </c>
      <c r="AO55" s="64" t="s">
        <v>3</v>
      </c>
      <c r="AP55" s="64" t="s">
        <v>3</v>
      </c>
      <c r="AQ55" s="64" t="s">
        <v>3</v>
      </c>
      <c r="AR55" s="64" t="s">
        <v>3</v>
      </c>
      <c r="AS55" s="42" t="s">
        <v>3</v>
      </c>
      <c r="AT55" s="42" t="s">
        <v>3</v>
      </c>
      <c r="AU55" s="42" t="s">
        <v>3</v>
      </c>
      <c r="AV55" s="42" t="s">
        <v>3</v>
      </c>
      <c r="AW55" s="53" t="s">
        <v>3</v>
      </c>
      <c r="AX55" s="53" t="s">
        <v>3</v>
      </c>
      <c r="AY55" s="57" t="s">
        <v>3</v>
      </c>
      <c r="AZ55" s="57" t="s">
        <v>3</v>
      </c>
      <c r="BA55" s="121" t="s">
        <v>3</v>
      </c>
      <c r="BB55" s="4" t="s">
        <v>3</v>
      </c>
      <c r="BC55" s="38" t="s">
        <v>3</v>
      </c>
      <c r="BD55" s="3" t="s">
        <v>3</v>
      </c>
    </row>
    <row r="56" spans="1:56" ht="15" customHeight="1" x14ac:dyDescent="0.25">
      <c r="A56" s="38" t="s">
        <v>14</v>
      </c>
      <c r="B56" s="38" t="s">
        <v>139</v>
      </c>
      <c r="C56" s="38" t="s">
        <v>185</v>
      </c>
      <c r="D56" s="48">
        <v>669.30089499999997</v>
      </c>
      <c r="E56" s="92">
        <f t="shared" si="0"/>
        <v>31.25</v>
      </c>
      <c r="F56" s="12" t="s">
        <v>564</v>
      </c>
      <c r="G56" s="12" t="s">
        <v>564</v>
      </c>
      <c r="H56" s="12" t="s">
        <v>564</v>
      </c>
      <c r="I56" s="11" t="s">
        <v>3</v>
      </c>
      <c r="J56" s="11" t="s">
        <v>3</v>
      </c>
      <c r="K56" s="115">
        <v>12143</v>
      </c>
      <c r="L56" s="5" t="s">
        <v>3</v>
      </c>
      <c r="M56" s="5">
        <f>1841</f>
        <v>1841</v>
      </c>
      <c r="N56" s="5">
        <v>3238</v>
      </c>
      <c r="O56" s="5">
        <v>16597</v>
      </c>
      <c r="P56" s="5">
        <v>70492</v>
      </c>
      <c r="Q56" s="5">
        <v>7763</v>
      </c>
      <c r="R56" s="5">
        <v>26228</v>
      </c>
      <c r="S56" s="5">
        <v>133845</v>
      </c>
      <c r="T56" s="5">
        <v>1688428</v>
      </c>
      <c r="U56" s="5">
        <v>208933</v>
      </c>
      <c r="V56" s="5" t="s">
        <v>3</v>
      </c>
      <c r="W56" s="14" t="s">
        <v>564</v>
      </c>
      <c r="X56" s="14" t="s">
        <v>564</v>
      </c>
      <c r="Y56" s="14" t="s">
        <v>564</v>
      </c>
      <c r="Z56" s="40" t="s">
        <v>3</v>
      </c>
      <c r="AA56" s="6">
        <v>704525</v>
      </c>
      <c r="AB56" s="6" t="s">
        <v>3</v>
      </c>
      <c r="AC56" s="8" t="s">
        <v>3</v>
      </c>
      <c r="AD56" s="8" t="s">
        <v>3</v>
      </c>
      <c r="AE56" s="3">
        <v>9836</v>
      </c>
      <c r="AF56" s="3" t="s">
        <v>3</v>
      </c>
      <c r="AG56" s="3">
        <v>1168</v>
      </c>
      <c r="AH56" s="3" t="s">
        <v>3</v>
      </c>
      <c r="AI56" s="1">
        <v>875</v>
      </c>
      <c r="AJ56" s="1" t="s">
        <v>564</v>
      </c>
      <c r="AK56" s="2">
        <v>4331</v>
      </c>
      <c r="AL56" s="2">
        <v>4208</v>
      </c>
      <c r="AM56" s="1" t="s">
        <v>564</v>
      </c>
      <c r="AN56" s="64" t="s">
        <v>564</v>
      </c>
      <c r="AO56" s="64" t="s">
        <v>564</v>
      </c>
      <c r="AP56" s="64" t="s">
        <v>564</v>
      </c>
      <c r="AQ56" s="64" t="s">
        <v>564</v>
      </c>
      <c r="AR56" s="64" t="s">
        <v>564</v>
      </c>
      <c r="AS56" s="42" t="s">
        <v>3</v>
      </c>
      <c r="AT56" s="42" t="s">
        <v>3</v>
      </c>
      <c r="AU56" s="42" t="s">
        <v>3</v>
      </c>
      <c r="AV56" s="42" t="s">
        <v>3</v>
      </c>
      <c r="AW56" s="53" t="s">
        <v>3</v>
      </c>
      <c r="AX56" s="53" t="s">
        <v>3</v>
      </c>
      <c r="AY56" s="57" t="s">
        <v>3</v>
      </c>
      <c r="AZ56" s="57" t="s">
        <v>3</v>
      </c>
      <c r="BA56" s="121" t="s">
        <v>3</v>
      </c>
      <c r="BB56" s="4" t="s">
        <v>3</v>
      </c>
      <c r="BC56" s="38" t="s">
        <v>3</v>
      </c>
      <c r="BD56" s="3" t="s">
        <v>3</v>
      </c>
    </row>
    <row r="57" spans="1:56" ht="15" customHeight="1" x14ac:dyDescent="0.25">
      <c r="A57" s="38" t="s">
        <v>15</v>
      </c>
      <c r="B57" s="38" t="s">
        <v>138</v>
      </c>
      <c r="C57" s="38" t="s">
        <v>186</v>
      </c>
      <c r="D57" s="48">
        <v>732.36821199999997</v>
      </c>
      <c r="E57" s="92">
        <f t="shared" si="0"/>
        <v>18.75</v>
      </c>
      <c r="F57" s="12" t="s">
        <v>3</v>
      </c>
      <c r="G57" s="12" t="s">
        <v>3</v>
      </c>
      <c r="H57" s="12" t="s">
        <v>3</v>
      </c>
      <c r="I57" s="11" t="s">
        <v>3</v>
      </c>
      <c r="J57" s="11" t="s">
        <v>3</v>
      </c>
      <c r="K57" s="114" t="s">
        <v>3</v>
      </c>
      <c r="L57" s="4" t="s">
        <v>3</v>
      </c>
      <c r="M57" s="4" t="s">
        <v>3</v>
      </c>
      <c r="N57" s="5">
        <v>4988</v>
      </c>
      <c r="O57" s="5">
        <v>6660</v>
      </c>
      <c r="P57" s="5">
        <v>13185</v>
      </c>
      <c r="Q57" s="4" t="s">
        <v>3</v>
      </c>
      <c r="R57" s="5">
        <v>5909</v>
      </c>
      <c r="S57" s="5">
        <v>32241</v>
      </c>
      <c r="T57" s="5">
        <v>283959</v>
      </c>
      <c r="U57" s="4">
        <v>36397</v>
      </c>
      <c r="V57" s="4" t="s">
        <v>3</v>
      </c>
      <c r="W57" s="13" t="s">
        <v>3</v>
      </c>
      <c r="X57" s="13" t="s">
        <v>3</v>
      </c>
      <c r="Y57" s="14" t="s">
        <v>3</v>
      </c>
      <c r="Z57" s="39" t="s">
        <v>3</v>
      </c>
      <c r="AA57" s="7" t="s">
        <v>3</v>
      </c>
      <c r="AB57" s="7" t="s">
        <v>3</v>
      </c>
      <c r="AC57" s="8" t="s">
        <v>3</v>
      </c>
      <c r="AD57" s="9" t="s">
        <v>3</v>
      </c>
      <c r="AE57" s="3">
        <v>1280</v>
      </c>
      <c r="AF57" s="3" t="s">
        <v>3</v>
      </c>
      <c r="AG57" s="3" t="s">
        <v>3</v>
      </c>
      <c r="AH57" s="3" t="s">
        <v>3</v>
      </c>
      <c r="AI57" s="1" t="s">
        <v>3</v>
      </c>
      <c r="AJ57" s="1" t="s">
        <v>3</v>
      </c>
      <c r="AK57" s="1">
        <v>4097</v>
      </c>
      <c r="AL57" s="1" t="s">
        <v>3</v>
      </c>
      <c r="AM57" s="1" t="s">
        <v>3</v>
      </c>
      <c r="AN57" s="64" t="s">
        <v>3</v>
      </c>
      <c r="AO57" s="64" t="s">
        <v>3</v>
      </c>
      <c r="AP57" s="64" t="s">
        <v>3</v>
      </c>
      <c r="AQ57" s="64" t="s">
        <v>3</v>
      </c>
      <c r="AR57" s="64" t="s">
        <v>3</v>
      </c>
      <c r="AS57" s="42" t="s">
        <v>3</v>
      </c>
      <c r="AT57" s="42" t="s">
        <v>3</v>
      </c>
      <c r="AU57" s="42" t="s">
        <v>3</v>
      </c>
      <c r="AV57" s="42" t="s">
        <v>3</v>
      </c>
      <c r="AW57" s="53" t="s">
        <v>3</v>
      </c>
      <c r="AX57" s="53" t="s">
        <v>3</v>
      </c>
      <c r="AY57" s="57" t="s">
        <v>3</v>
      </c>
      <c r="AZ57" s="57" t="s">
        <v>3</v>
      </c>
      <c r="BA57" s="121" t="s">
        <v>3</v>
      </c>
      <c r="BB57" s="4" t="s">
        <v>3</v>
      </c>
      <c r="BC57" s="38" t="s">
        <v>3</v>
      </c>
      <c r="BD57" s="3" t="s">
        <v>3</v>
      </c>
    </row>
    <row r="58" spans="1:56" ht="15" customHeight="1" x14ac:dyDescent="0.25">
      <c r="A58" s="38" t="s">
        <v>15</v>
      </c>
      <c r="B58" s="38" t="s">
        <v>139</v>
      </c>
      <c r="C58" s="38" t="s">
        <v>186</v>
      </c>
      <c r="D58" s="48">
        <v>713.32710999999995</v>
      </c>
      <c r="E58" s="92">
        <f t="shared" si="0"/>
        <v>29.166666666666668</v>
      </c>
      <c r="F58" s="12" t="s">
        <v>564</v>
      </c>
      <c r="G58" s="12" t="s">
        <v>564</v>
      </c>
      <c r="H58" s="12" t="s">
        <v>564</v>
      </c>
      <c r="I58" s="11" t="s">
        <v>3</v>
      </c>
      <c r="J58" s="11" t="s">
        <v>3</v>
      </c>
      <c r="K58" s="114" t="s">
        <v>3</v>
      </c>
      <c r="L58" s="5" t="s">
        <v>3</v>
      </c>
      <c r="M58" s="5">
        <v>1779</v>
      </c>
      <c r="N58" s="5">
        <v>1556</v>
      </c>
      <c r="O58" s="5">
        <v>12655</v>
      </c>
      <c r="P58" s="5">
        <v>40970</v>
      </c>
      <c r="Q58" s="5">
        <v>7110</v>
      </c>
      <c r="R58" s="5">
        <v>19631</v>
      </c>
      <c r="S58" s="5">
        <v>110162</v>
      </c>
      <c r="T58" s="5">
        <v>1268068</v>
      </c>
      <c r="U58" s="5">
        <v>140254</v>
      </c>
      <c r="V58" s="5" t="s">
        <v>3</v>
      </c>
      <c r="W58" s="14" t="s">
        <v>564</v>
      </c>
      <c r="X58" s="14" t="s">
        <v>564</v>
      </c>
      <c r="Y58" s="14" t="s">
        <v>564</v>
      </c>
      <c r="Z58" s="40" t="s">
        <v>3</v>
      </c>
      <c r="AA58" s="6">
        <v>512212</v>
      </c>
      <c r="AB58" s="6" t="s">
        <v>3</v>
      </c>
      <c r="AC58" s="8" t="s">
        <v>3</v>
      </c>
      <c r="AD58" s="8" t="s">
        <v>3</v>
      </c>
      <c r="AE58" s="3">
        <v>5652</v>
      </c>
      <c r="AF58" s="3" t="s">
        <v>3</v>
      </c>
      <c r="AG58" s="3">
        <v>1108</v>
      </c>
      <c r="AH58" s="3" t="s">
        <v>3</v>
      </c>
      <c r="AI58" s="1" t="s">
        <v>3</v>
      </c>
      <c r="AJ58" s="1" t="s">
        <v>564</v>
      </c>
      <c r="AK58" s="2">
        <v>6364</v>
      </c>
      <c r="AL58" s="2">
        <v>4569</v>
      </c>
      <c r="AM58" s="1" t="s">
        <v>564</v>
      </c>
      <c r="AN58" s="64" t="s">
        <v>564</v>
      </c>
      <c r="AO58" s="64" t="s">
        <v>564</v>
      </c>
      <c r="AP58" s="64" t="s">
        <v>564</v>
      </c>
      <c r="AQ58" s="64" t="s">
        <v>564</v>
      </c>
      <c r="AR58" s="64" t="s">
        <v>564</v>
      </c>
      <c r="AS58" s="42" t="s">
        <v>3</v>
      </c>
      <c r="AT58" s="42" t="s">
        <v>3</v>
      </c>
      <c r="AU58" s="42" t="s">
        <v>3</v>
      </c>
      <c r="AV58" s="42" t="s">
        <v>3</v>
      </c>
      <c r="AW58" s="53" t="s">
        <v>3</v>
      </c>
      <c r="AX58" s="53" t="s">
        <v>3</v>
      </c>
      <c r="AY58" s="57" t="s">
        <v>3</v>
      </c>
      <c r="AZ58" s="57" t="s">
        <v>3</v>
      </c>
      <c r="BA58" s="121" t="s">
        <v>3</v>
      </c>
      <c r="BB58" s="4" t="s">
        <v>3</v>
      </c>
      <c r="BC58" s="38" t="s">
        <v>3</v>
      </c>
      <c r="BD58" s="3" t="s">
        <v>3</v>
      </c>
    </row>
    <row r="59" spans="1:56" ht="15" customHeight="1" x14ac:dyDescent="0.25">
      <c r="A59" s="38" t="s">
        <v>16</v>
      </c>
      <c r="B59" s="38" t="s">
        <v>138</v>
      </c>
      <c r="C59" s="38" t="s">
        <v>187</v>
      </c>
      <c r="D59" s="48">
        <v>776.39442599999995</v>
      </c>
      <c r="E59" s="92">
        <f t="shared" si="0"/>
        <v>12.5</v>
      </c>
      <c r="F59" s="12" t="s">
        <v>3</v>
      </c>
      <c r="G59" s="12" t="s">
        <v>3</v>
      </c>
      <c r="H59" s="12" t="s">
        <v>3</v>
      </c>
      <c r="I59" s="11" t="s">
        <v>3</v>
      </c>
      <c r="J59" s="11" t="s">
        <v>3</v>
      </c>
      <c r="K59" s="114" t="s">
        <v>3</v>
      </c>
      <c r="L59" s="4" t="s">
        <v>3</v>
      </c>
      <c r="M59" s="4" t="s">
        <v>3</v>
      </c>
      <c r="N59" s="4">
        <v>6088</v>
      </c>
      <c r="O59" s="4" t="s">
        <v>3</v>
      </c>
      <c r="P59" s="4">
        <v>12547</v>
      </c>
      <c r="Q59" s="4" t="s">
        <v>3</v>
      </c>
      <c r="R59" s="5">
        <v>3592</v>
      </c>
      <c r="S59" s="4">
        <v>11672</v>
      </c>
      <c r="T59" s="5">
        <v>102826</v>
      </c>
      <c r="U59" s="4">
        <v>13902</v>
      </c>
      <c r="V59" s="4" t="s">
        <v>3</v>
      </c>
      <c r="W59" s="13" t="s">
        <v>3</v>
      </c>
      <c r="X59" s="13" t="s">
        <v>3</v>
      </c>
      <c r="Y59" s="14" t="s">
        <v>3</v>
      </c>
      <c r="Z59" s="39" t="s">
        <v>3</v>
      </c>
      <c r="AB59" s="7" t="s">
        <v>3</v>
      </c>
      <c r="AC59" s="8" t="s">
        <v>3</v>
      </c>
      <c r="AD59" s="9" t="s">
        <v>3</v>
      </c>
      <c r="AE59" s="3" t="s">
        <v>3</v>
      </c>
      <c r="AF59" s="3" t="s">
        <v>3</v>
      </c>
      <c r="AG59" s="3" t="s">
        <v>3</v>
      </c>
      <c r="AH59" s="3" t="s">
        <v>3</v>
      </c>
      <c r="AI59" s="1" t="s">
        <v>3</v>
      </c>
      <c r="AJ59" s="1" t="s">
        <v>3</v>
      </c>
      <c r="AK59" s="1" t="s">
        <v>3</v>
      </c>
      <c r="AL59" s="1" t="s">
        <v>3</v>
      </c>
      <c r="AM59" s="1" t="s">
        <v>3</v>
      </c>
      <c r="AN59" s="64" t="s">
        <v>3</v>
      </c>
      <c r="AO59" s="64" t="s">
        <v>3</v>
      </c>
      <c r="AP59" s="64" t="s">
        <v>3</v>
      </c>
      <c r="AQ59" s="64" t="s">
        <v>3</v>
      </c>
      <c r="AR59" s="64" t="s">
        <v>3</v>
      </c>
      <c r="AS59" s="42" t="s">
        <v>3</v>
      </c>
      <c r="AT59" s="42" t="s">
        <v>3</v>
      </c>
      <c r="AU59" s="42" t="s">
        <v>3</v>
      </c>
      <c r="AV59" s="42" t="s">
        <v>3</v>
      </c>
      <c r="AW59" s="53" t="s">
        <v>3</v>
      </c>
      <c r="AX59" s="53" t="s">
        <v>3</v>
      </c>
      <c r="AY59" s="57" t="s">
        <v>3</v>
      </c>
      <c r="AZ59" s="57" t="s">
        <v>3</v>
      </c>
      <c r="BA59" s="121" t="s">
        <v>3</v>
      </c>
      <c r="BB59" s="4" t="s">
        <v>3</v>
      </c>
      <c r="BC59" s="38" t="s">
        <v>3</v>
      </c>
      <c r="BD59" s="3" t="s">
        <v>3</v>
      </c>
    </row>
    <row r="60" spans="1:56" ht="15" customHeight="1" x14ac:dyDescent="0.25">
      <c r="A60" s="38" t="s">
        <v>16</v>
      </c>
      <c r="B60" s="38" t="s">
        <v>139</v>
      </c>
      <c r="C60" s="38" t="s">
        <v>187</v>
      </c>
      <c r="D60" s="48">
        <v>757.35332400000004</v>
      </c>
      <c r="E60" s="92">
        <f t="shared" si="0"/>
        <v>29.166666666666668</v>
      </c>
      <c r="F60" s="12" t="s">
        <v>564</v>
      </c>
      <c r="G60" s="12" t="s">
        <v>564</v>
      </c>
      <c r="H60" s="12" t="s">
        <v>564</v>
      </c>
      <c r="I60" s="11" t="s">
        <v>3</v>
      </c>
      <c r="J60" s="11" t="s">
        <v>3</v>
      </c>
      <c r="K60" s="114" t="s">
        <v>3</v>
      </c>
      <c r="L60" s="5" t="s">
        <v>3</v>
      </c>
      <c r="M60" s="5">
        <v>2017</v>
      </c>
      <c r="N60" s="5">
        <v>2052</v>
      </c>
      <c r="O60" s="5">
        <v>4740</v>
      </c>
      <c r="P60" s="5">
        <v>23201</v>
      </c>
      <c r="Q60" s="5">
        <v>2903</v>
      </c>
      <c r="R60" s="5">
        <v>10314</v>
      </c>
      <c r="S60" s="5">
        <v>73357</v>
      </c>
      <c r="T60" s="5">
        <v>594582</v>
      </c>
      <c r="U60" s="5">
        <v>64998</v>
      </c>
      <c r="V60" s="5" t="s">
        <v>3</v>
      </c>
      <c r="W60" s="14" t="s">
        <v>564</v>
      </c>
      <c r="X60" s="14" t="s">
        <v>564</v>
      </c>
      <c r="Y60" s="14" t="s">
        <v>564</v>
      </c>
      <c r="Z60" s="40" t="s">
        <v>3</v>
      </c>
      <c r="AA60" s="6">
        <v>279938</v>
      </c>
      <c r="AB60" s="6" t="s">
        <v>3</v>
      </c>
      <c r="AC60" s="8" t="s">
        <v>3</v>
      </c>
      <c r="AD60" s="8" t="s">
        <v>3</v>
      </c>
      <c r="AE60" s="3">
        <v>2352</v>
      </c>
      <c r="AF60" s="3" t="s">
        <v>3</v>
      </c>
      <c r="AG60" s="3">
        <v>580</v>
      </c>
      <c r="AH60" s="3" t="s">
        <v>3</v>
      </c>
      <c r="AI60" s="1" t="s">
        <v>3</v>
      </c>
      <c r="AJ60" s="1" t="s">
        <v>564</v>
      </c>
      <c r="AK60" s="2">
        <v>4773</v>
      </c>
      <c r="AL60" s="2">
        <v>4210</v>
      </c>
      <c r="AM60" s="1" t="s">
        <v>564</v>
      </c>
      <c r="AN60" s="64" t="s">
        <v>564</v>
      </c>
      <c r="AO60" s="64" t="s">
        <v>564</v>
      </c>
      <c r="AP60" s="64" t="s">
        <v>564</v>
      </c>
      <c r="AQ60" s="64" t="s">
        <v>564</v>
      </c>
      <c r="AR60" s="64" t="s">
        <v>564</v>
      </c>
      <c r="AS60" s="42" t="s">
        <v>3</v>
      </c>
      <c r="AT60" s="42" t="s">
        <v>3</v>
      </c>
      <c r="AU60" s="42" t="s">
        <v>3</v>
      </c>
      <c r="AV60" s="42" t="s">
        <v>3</v>
      </c>
      <c r="AW60" s="53" t="s">
        <v>3</v>
      </c>
      <c r="AX60" s="53" t="s">
        <v>3</v>
      </c>
      <c r="AY60" s="57" t="s">
        <v>3</v>
      </c>
      <c r="AZ60" s="57" t="s">
        <v>3</v>
      </c>
      <c r="BA60" s="121" t="s">
        <v>3</v>
      </c>
      <c r="BB60" s="4" t="s">
        <v>3</v>
      </c>
      <c r="BC60" s="38" t="s">
        <v>3</v>
      </c>
      <c r="BD60" s="3" t="s">
        <v>3</v>
      </c>
    </row>
    <row r="61" spans="1:56" ht="15" customHeight="1" x14ac:dyDescent="0.25">
      <c r="A61" s="38" t="s">
        <v>17</v>
      </c>
      <c r="B61" s="38" t="s">
        <v>138</v>
      </c>
      <c r="C61" s="38" t="s">
        <v>188</v>
      </c>
      <c r="D61" s="48">
        <v>820.42064100000005</v>
      </c>
      <c r="E61" s="92">
        <f t="shared" si="0"/>
        <v>8.3333333333333321</v>
      </c>
      <c r="F61" s="12" t="s">
        <v>3</v>
      </c>
      <c r="G61" s="12" t="s">
        <v>3</v>
      </c>
      <c r="H61" s="12" t="s">
        <v>3</v>
      </c>
      <c r="I61" s="11" t="s">
        <v>3</v>
      </c>
      <c r="J61" s="11" t="s">
        <v>3</v>
      </c>
      <c r="K61" s="114" t="s">
        <v>3</v>
      </c>
      <c r="L61" s="4" t="s">
        <v>3</v>
      </c>
      <c r="M61" s="4" t="s">
        <v>3</v>
      </c>
      <c r="N61" s="4" t="s">
        <v>3</v>
      </c>
      <c r="O61" s="4" t="s">
        <v>3</v>
      </c>
      <c r="P61" s="4" t="s">
        <v>3</v>
      </c>
      <c r="Q61" s="4" t="s">
        <v>3</v>
      </c>
      <c r="R61" s="5">
        <v>3618</v>
      </c>
      <c r="S61" s="5">
        <v>7158</v>
      </c>
      <c r="T61" s="5">
        <v>59882</v>
      </c>
      <c r="U61" s="4" t="s">
        <v>3</v>
      </c>
      <c r="V61" s="4" t="s">
        <v>3</v>
      </c>
      <c r="W61" s="13" t="s">
        <v>3</v>
      </c>
      <c r="X61" s="13" t="s">
        <v>3</v>
      </c>
      <c r="Y61" s="14" t="s">
        <v>3</v>
      </c>
      <c r="Z61" s="39" t="s">
        <v>3</v>
      </c>
      <c r="AB61" s="7" t="s">
        <v>3</v>
      </c>
      <c r="AC61" s="8" t="s">
        <v>3</v>
      </c>
      <c r="AD61" s="9" t="s">
        <v>3</v>
      </c>
      <c r="AE61" s="3" t="s">
        <v>3</v>
      </c>
      <c r="AF61" s="3" t="s">
        <v>3</v>
      </c>
      <c r="AG61" s="3" t="s">
        <v>3</v>
      </c>
      <c r="AH61" s="3" t="s">
        <v>3</v>
      </c>
      <c r="AI61" s="1" t="s">
        <v>3</v>
      </c>
      <c r="AJ61" s="1" t="s">
        <v>3</v>
      </c>
      <c r="AK61" s="1">
        <v>2116</v>
      </c>
      <c r="AL61" s="1" t="s">
        <v>3</v>
      </c>
      <c r="AM61" s="1" t="s">
        <v>3</v>
      </c>
      <c r="AN61" s="64" t="s">
        <v>3</v>
      </c>
      <c r="AO61" s="64" t="s">
        <v>3</v>
      </c>
      <c r="AP61" s="64" t="s">
        <v>3</v>
      </c>
      <c r="AQ61" s="64" t="s">
        <v>3</v>
      </c>
      <c r="AR61" s="64" t="s">
        <v>3</v>
      </c>
      <c r="AS61" s="42" t="s">
        <v>3</v>
      </c>
      <c r="AT61" s="42" t="s">
        <v>3</v>
      </c>
      <c r="AU61" s="42" t="s">
        <v>3</v>
      </c>
      <c r="AV61" s="42" t="s">
        <v>3</v>
      </c>
      <c r="AW61" s="53" t="s">
        <v>3</v>
      </c>
      <c r="AX61" s="53" t="s">
        <v>3</v>
      </c>
      <c r="AY61" s="57" t="s">
        <v>3</v>
      </c>
      <c r="AZ61" s="57" t="s">
        <v>3</v>
      </c>
      <c r="BA61" s="121" t="s">
        <v>3</v>
      </c>
      <c r="BB61" s="4" t="s">
        <v>3</v>
      </c>
      <c r="BC61" s="38" t="s">
        <v>3</v>
      </c>
      <c r="BD61" s="3" t="s">
        <v>3</v>
      </c>
    </row>
    <row r="62" spans="1:56" ht="15" customHeight="1" x14ac:dyDescent="0.25">
      <c r="A62" s="38" t="s">
        <v>17</v>
      </c>
      <c r="B62" s="38" t="s">
        <v>139</v>
      </c>
      <c r="C62" s="38" t="s">
        <v>188</v>
      </c>
      <c r="D62" s="48">
        <v>801.37953900000002</v>
      </c>
      <c r="E62" s="92">
        <f t="shared" si="0"/>
        <v>27.083333333333332</v>
      </c>
      <c r="F62" s="12" t="s">
        <v>564</v>
      </c>
      <c r="G62" s="12" t="s">
        <v>564</v>
      </c>
      <c r="H62" s="12" t="s">
        <v>564</v>
      </c>
      <c r="I62" s="11" t="s">
        <v>3</v>
      </c>
      <c r="J62" s="11" t="s">
        <v>3</v>
      </c>
      <c r="K62" s="114" t="s">
        <v>3</v>
      </c>
      <c r="L62" s="5" t="s">
        <v>3</v>
      </c>
      <c r="M62" s="5">
        <v>1425</v>
      </c>
      <c r="N62" s="5">
        <v>2353</v>
      </c>
      <c r="O62" s="5">
        <v>4339</v>
      </c>
      <c r="P62" s="5">
        <v>20071</v>
      </c>
      <c r="Q62" s="5">
        <v>5024</v>
      </c>
      <c r="R62" s="5">
        <v>6048</v>
      </c>
      <c r="S62" s="5">
        <v>45835</v>
      </c>
      <c r="T62" s="5">
        <v>577518</v>
      </c>
      <c r="U62" s="5">
        <v>47891</v>
      </c>
      <c r="V62" s="5" t="s">
        <v>3</v>
      </c>
      <c r="W62" s="14" t="s">
        <v>564</v>
      </c>
      <c r="X62" s="14" t="s">
        <v>564</v>
      </c>
      <c r="Y62" s="14" t="s">
        <v>564</v>
      </c>
      <c r="Z62" s="40" t="s">
        <v>3</v>
      </c>
      <c r="AA62" s="6">
        <v>185161</v>
      </c>
      <c r="AB62" s="6" t="s">
        <v>3</v>
      </c>
      <c r="AC62" s="8" t="s">
        <v>3</v>
      </c>
      <c r="AD62" s="8" t="s">
        <v>3</v>
      </c>
      <c r="AE62" s="3">
        <v>1516</v>
      </c>
      <c r="AF62" s="3" t="s">
        <v>3</v>
      </c>
      <c r="AG62" s="3">
        <v>416</v>
      </c>
      <c r="AH62" s="3" t="s">
        <v>3</v>
      </c>
      <c r="AI62" s="1" t="s">
        <v>3</v>
      </c>
      <c r="AJ62" s="1" t="s">
        <v>564</v>
      </c>
      <c r="AK62" s="2">
        <v>3899</v>
      </c>
      <c r="AL62" s="1" t="s">
        <v>3</v>
      </c>
      <c r="AM62" s="1" t="s">
        <v>564</v>
      </c>
      <c r="AN62" s="64" t="s">
        <v>564</v>
      </c>
      <c r="AO62" s="64" t="s">
        <v>564</v>
      </c>
      <c r="AP62" s="64" t="s">
        <v>564</v>
      </c>
      <c r="AQ62" s="64" t="s">
        <v>564</v>
      </c>
      <c r="AR62" s="64" t="s">
        <v>564</v>
      </c>
      <c r="AS62" s="42" t="s">
        <v>3</v>
      </c>
      <c r="AT62" s="42" t="s">
        <v>3</v>
      </c>
      <c r="AU62" s="42" t="s">
        <v>3</v>
      </c>
      <c r="AV62" s="42" t="s">
        <v>3</v>
      </c>
      <c r="AW62" s="53" t="s">
        <v>3</v>
      </c>
      <c r="AX62" s="53" t="s">
        <v>3</v>
      </c>
      <c r="AY62" s="57" t="s">
        <v>3</v>
      </c>
      <c r="AZ62" s="57" t="s">
        <v>3</v>
      </c>
      <c r="BA62" s="121" t="s">
        <v>3</v>
      </c>
      <c r="BB62" s="4" t="s">
        <v>3</v>
      </c>
      <c r="BC62" s="38" t="s">
        <v>3</v>
      </c>
      <c r="BD62" s="3" t="s">
        <v>3</v>
      </c>
    </row>
    <row r="63" spans="1:56" ht="15" customHeight="1" x14ac:dyDescent="0.25">
      <c r="A63" s="38" t="s">
        <v>18</v>
      </c>
      <c r="B63" s="38" t="s">
        <v>139</v>
      </c>
      <c r="C63" s="38" t="s">
        <v>189</v>
      </c>
      <c r="D63" s="48">
        <v>297.15298899999999</v>
      </c>
      <c r="E63" s="92">
        <f t="shared" si="0"/>
        <v>54.166666666666664</v>
      </c>
      <c r="F63" s="12" t="s">
        <v>564</v>
      </c>
      <c r="G63" s="12" t="s">
        <v>564</v>
      </c>
      <c r="H63" s="12" t="s">
        <v>564</v>
      </c>
      <c r="I63" s="127">
        <v>1376</v>
      </c>
      <c r="J63" s="11" t="s">
        <v>3</v>
      </c>
      <c r="K63" s="114" t="s">
        <v>3</v>
      </c>
      <c r="L63" s="5">
        <v>162360</v>
      </c>
      <c r="M63" s="5">
        <v>3121124</v>
      </c>
      <c r="N63" s="5">
        <v>1633790</v>
      </c>
      <c r="O63" s="5">
        <v>2599268</v>
      </c>
      <c r="P63" s="5">
        <v>6648318</v>
      </c>
      <c r="Q63" s="5">
        <v>10855501</v>
      </c>
      <c r="R63" s="5">
        <v>11185162</v>
      </c>
      <c r="S63" s="5">
        <v>8678708</v>
      </c>
      <c r="T63" s="5">
        <v>17467818</v>
      </c>
      <c r="U63" s="5">
        <v>2708409</v>
      </c>
      <c r="V63" s="5">
        <v>642566</v>
      </c>
      <c r="W63" s="14" t="s">
        <v>564</v>
      </c>
      <c r="X63" s="14" t="s">
        <v>564</v>
      </c>
      <c r="Y63" s="14" t="s">
        <v>564</v>
      </c>
      <c r="Z63" s="40">
        <v>40418116</v>
      </c>
      <c r="AA63" s="6">
        <v>24210202</v>
      </c>
      <c r="AB63" s="6">
        <v>3087793</v>
      </c>
      <c r="AC63" s="8">
        <v>302294400</v>
      </c>
      <c r="AD63" s="8">
        <v>517352</v>
      </c>
      <c r="AE63" s="3">
        <v>746976</v>
      </c>
      <c r="AF63" s="3">
        <v>22256</v>
      </c>
      <c r="AG63" s="3">
        <v>762128</v>
      </c>
      <c r="AH63" s="3">
        <v>27928</v>
      </c>
      <c r="AI63" s="1">
        <v>259025</v>
      </c>
      <c r="AJ63" s="1" t="s">
        <v>564</v>
      </c>
      <c r="AK63" s="2">
        <v>1229456</v>
      </c>
      <c r="AL63" s="2">
        <v>526372</v>
      </c>
      <c r="AM63" s="1" t="s">
        <v>564</v>
      </c>
      <c r="AN63" s="64" t="s">
        <v>564</v>
      </c>
      <c r="AO63" s="64" t="s">
        <v>564</v>
      </c>
      <c r="AP63" s="64" t="s">
        <v>564</v>
      </c>
      <c r="AQ63" s="64" t="s">
        <v>564</v>
      </c>
      <c r="AR63" s="64" t="s">
        <v>564</v>
      </c>
      <c r="AS63" s="42" t="s">
        <v>3</v>
      </c>
      <c r="AT63" s="42" t="s">
        <v>3</v>
      </c>
      <c r="AU63" s="42" t="s">
        <v>3</v>
      </c>
      <c r="AV63" s="42" t="s">
        <v>3</v>
      </c>
      <c r="AW63" s="53">
        <v>1685353</v>
      </c>
      <c r="AX63" s="53" t="s">
        <v>3</v>
      </c>
      <c r="AY63" s="57">
        <v>31948708</v>
      </c>
      <c r="AZ63" s="57" t="s">
        <v>3</v>
      </c>
      <c r="BA63" s="121">
        <v>572946</v>
      </c>
      <c r="BB63" s="4" t="s">
        <v>3</v>
      </c>
      <c r="BC63" s="38" t="s">
        <v>3</v>
      </c>
      <c r="BD63" s="3">
        <v>8032</v>
      </c>
    </row>
    <row r="64" spans="1:56" ht="15" customHeight="1" x14ac:dyDescent="0.25">
      <c r="A64" s="38" t="s">
        <v>19</v>
      </c>
      <c r="B64" s="38" t="s">
        <v>139</v>
      </c>
      <c r="C64" s="38" t="s">
        <v>190</v>
      </c>
      <c r="D64" s="48">
        <v>311.16863899999998</v>
      </c>
      <c r="E64" s="92">
        <f t="shared" si="0"/>
        <v>56.25</v>
      </c>
      <c r="F64" s="12" t="s">
        <v>564</v>
      </c>
      <c r="G64" s="12" t="s">
        <v>564</v>
      </c>
      <c r="H64" s="12" t="s">
        <v>564</v>
      </c>
      <c r="I64" s="127">
        <v>4932</v>
      </c>
      <c r="J64" s="11" t="s">
        <v>3</v>
      </c>
      <c r="K64" s="114" t="s">
        <v>3</v>
      </c>
      <c r="L64" s="5">
        <v>185828</v>
      </c>
      <c r="M64" s="5">
        <v>2388107</v>
      </c>
      <c r="N64" s="5">
        <v>1919935</v>
      </c>
      <c r="O64" s="5">
        <v>1700525</v>
      </c>
      <c r="P64" s="5">
        <v>4073561</v>
      </c>
      <c r="Q64" s="5">
        <v>7746417</v>
      </c>
      <c r="R64" s="5">
        <v>8427784</v>
      </c>
      <c r="S64" s="5">
        <v>7689140</v>
      </c>
      <c r="T64" s="5">
        <v>14569221</v>
      </c>
      <c r="U64" s="5">
        <v>3678338</v>
      </c>
      <c r="V64" s="5">
        <v>779828</v>
      </c>
      <c r="W64" s="14" t="s">
        <v>564</v>
      </c>
      <c r="X64" s="14" t="s">
        <v>564</v>
      </c>
      <c r="Y64" s="14" t="s">
        <v>564</v>
      </c>
      <c r="Z64" s="40">
        <v>72961384</v>
      </c>
      <c r="AA64" s="6">
        <v>11182128</v>
      </c>
      <c r="AB64" s="6">
        <v>9044478</v>
      </c>
      <c r="AC64" s="8">
        <v>316732448</v>
      </c>
      <c r="AD64" s="8">
        <v>940689</v>
      </c>
      <c r="AE64" s="3">
        <v>914872</v>
      </c>
      <c r="AF64" s="3">
        <v>134940</v>
      </c>
      <c r="AG64" s="3">
        <v>877884</v>
      </c>
      <c r="AH64" s="3">
        <v>55856</v>
      </c>
      <c r="AI64" s="1">
        <v>534212</v>
      </c>
      <c r="AJ64" s="1" t="s">
        <v>564</v>
      </c>
      <c r="AK64" s="2">
        <v>2373588</v>
      </c>
      <c r="AL64" s="2">
        <v>1418589</v>
      </c>
      <c r="AM64" s="1" t="s">
        <v>564</v>
      </c>
      <c r="AN64" s="64" t="s">
        <v>564</v>
      </c>
      <c r="AO64" s="64" t="s">
        <v>564</v>
      </c>
      <c r="AP64" s="64" t="s">
        <v>564</v>
      </c>
      <c r="AQ64" s="64" t="s">
        <v>564</v>
      </c>
      <c r="AR64" s="64" t="s">
        <v>564</v>
      </c>
      <c r="AS64" s="42" t="s">
        <v>3</v>
      </c>
      <c r="AT64" s="42" t="s">
        <v>3</v>
      </c>
      <c r="AU64" s="42" t="s">
        <v>3</v>
      </c>
      <c r="AV64" s="42" t="s">
        <v>3</v>
      </c>
      <c r="AW64" s="53">
        <v>2397408</v>
      </c>
      <c r="AX64" s="53">
        <v>44975</v>
      </c>
      <c r="AY64" s="57">
        <v>23258376</v>
      </c>
      <c r="AZ64" s="57">
        <v>18324850</v>
      </c>
      <c r="BA64" s="121" t="s">
        <v>3</v>
      </c>
      <c r="BB64" s="4" t="s">
        <v>3</v>
      </c>
      <c r="BC64" s="38" t="s">
        <v>3</v>
      </c>
      <c r="BD64" s="3">
        <v>43840</v>
      </c>
    </row>
    <row r="65" spans="1:56" ht="15" customHeight="1" x14ac:dyDescent="0.25">
      <c r="A65" s="38" t="s">
        <v>20</v>
      </c>
      <c r="B65" s="38" t="s">
        <v>139</v>
      </c>
      <c r="C65" s="38" t="s">
        <v>191</v>
      </c>
      <c r="D65" s="48">
        <v>325.18428899999998</v>
      </c>
      <c r="E65" s="92">
        <f t="shared" si="0"/>
        <v>52.083333333333336</v>
      </c>
      <c r="F65" s="12" t="s">
        <v>564</v>
      </c>
      <c r="G65" s="12" t="s">
        <v>564</v>
      </c>
      <c r="H65" s="12" t="s">
        <v>564</v>
      </c>
      <c r="I65" s="127">
        <v>4957</v>
      </c>
      <c r="J65" s="11" t="s">
        <v>3</v>
      </c>
      <c r="K65" s="114" t="s">
        <v>3</v>
      </c>
      <c r="L65" s="5">
        <v>103306</v>
      </c>
      <c r="M65" s="5">
        <f>716338</f>
        <v>716338</v>
      </c>
      <c r="N65" s="5">
        <v>540773</v>
      </c>
      <c r="O65" s="5">
        <v>392788</v>
      </c>
      <c r="P65" s="5">
        <f>964544</f>
        <v>964544</v>
      </c>
      <c r="Q65" s="5">
        <v>1371445</v>
      </c>
      <c r="R65" s="5">
        <v>1482347</v>
      </c>
      <c r="S65" s="5">
        <v>4220783</v>
      </c>
      <c r="T65" s="5">
        <v>10496412</v>
      </c>
      <c r="U65" s="5">
        <v>2133453</v>
      </c>
      <c r="V65" s="5">
        <v>238881</v>
      </c>
      <c r="W65" s="14" t="s">
        <v>564</v>
      </c>
      <c r="X65" s="14" t="s">
        <v>564</v>
      </c>
      <c r="Y65" s="14" t="s">
        <v>564</v>
      </c>
      <c r="Z65" s="40">
        <v>49343964</v>
      </c>
      <c r="AA65" s="6">
        <v>10270975</v>
      </c>
      <c r="AB65" s="6">
        <v>13442296</v>
      </c>
      <c r="AC65" s="8">
        <v>134398112</v>
      </c>
      <c r="AD65" s="8">
        <v>694874</v>
      </c>
      <c r="AE65" s="3">
        <v>893100</v>
      </c>
      <c r="AF65" s="3">
        <v>136364</v>
      </c>
      <c r="AG65" s="3">
        <v>877536</v>
      </c>
      <c r="AH65" s="3">
        <v>42940</v>
      </c>
      <c r="AI65" s="1">
        <v>345802</v>
      </c>
      <c r="AJ65" s="1" t="s">
        <v>564</v>
      </c>
      <c r="AK65" s="2">
        <v>2008278</v>
      </c>
      <c r="AL65" s="2">
        <v>1295664</v>
      </c>
      <c r="AM65" s="1" t="s">
        <v>564</v>
      </c>
      <c r="AN65" s="64" t="s">
        <v>564</v>
      </c>
      <c r="AO65" s="64" t="s">
        <v>564</v>
      </c>
      <c r="AP65" s="64" t="s">
        <v>564</v>
      </c>
      <c r="AQ65" s="64" t="s">
        <v>564</v>
      </c>
      <c r="AR65" s="64" t="s">
        <v>564</v>
      </c>
      <c r="AS65" s="42" t="s">
        <v>3</v>
      </c>
      <c r="AT65" s="42" t="s">
        <v>3</v>
      </c>
      <c r="AU65" s="42" t="s">
        <v>3</v>
      </c>
      <c r="AV65" s="42" t="s">
        <v>3</v>
      </c>
      <c r="AW65" s="53">
        <v>865244</v>
      </c>
      <c r="AX65" s="53">
        <v>26251</v>
      </c>
      <c r="AY65" s="57" t="s">
        <v>3</v>
      </c>
      <c r="AZ65" s="57" t="s">
        <v>3</v>
      </c>
      <c r="BA65" s="121" t="s">
        <v>3</v>
      </c>
      <c r="BB65" s="4" t="s">
        <v>3</v>
      </c>
      <c r="BC65" s="38" t="s">
        <v>3</v>
      </c>
      <c r="BD65" s="3">
        <v>51220</v>
      </c>
    </row>
    <row r="66" spans="1:56" ht="15" customHeight="1" x14ac:dyDescent="0.25">
      <c r="A66" s="38" t="s">
        <v>21</v>
      </c>
      <c r="B66" s="38" t="s">
        <v>139</v>
      </c>
      <c r="C66" s="38" t="s">
        <v>192</v>
      </c>
      <c r="D66" s="48">
        <v>339.19993899999997</v>
      </c>
      <c r="E66" s="92">
        <f t="shared" si="0"/>
        <v>56.25</v>
      </c>
      <c r="F66" s="12" t="s">
        <v>564</v>
      </c>
      <c r="G66" s="12" t="s">
        <v>564</v>
      </c>
      <c r="H66" s="12" t="s">
        <v>564</v>
      </c>
      <c r="I66" s="127">
        <v>2827</v>
      </c>
      <c r="J66" s="11" t="s">
        <v>3</v>
      </c>
      <c r="K66" s="114" t="s">
        <v>3</v>
      </c>
      <c r="L66" s="5">
        <v>87544</v>
      </c>
      <c r="M66" s="5">
        <v>157191</v>
      </c>
      <c r="N66" s="5">
        <v>124938</v>
      </c>
      <c r="O66" s="5">
        <v>106695</v>
      </c>
      <c r="P66" s="5">
        <v>183198</v>
      </c>
      <c r="Q66" s="5">
        <v>161610</v>
      </c>
      <c r="R66" s="5">
        <v>155041</v>
      </c>
      <c r="S66" s="5">
        <v>1863167</v>
      </c>
      <c r="T66" s="5">
        <v>5415730</v>
      </c>
      <c r="U66" s="5">
        <v>924976</v>
      </c>
      <c r="V66" s="5">
        <v>82118</v>
      </c>
      <c r="W66" s="14" t="s">
        <v>564</v>
      </c>
      <c r="X66" s="14" t="s">
        <v>564</v>
      </c>
      <c r="Y66" s="14" t="s">
        <v>564</v>
      </c>
      <c r="Z66" s="40">
        <v>21074752</v>
      </c>
      <c r="AA66" s="6">
        <v>10501374</v>
      </c>
      <c r="AB66" s="6">
        <v>13457864</v>
      </c>
      <c r="AC66" s="8">
        <v>34444020</v>
      </c>
      <c r="AD66" s="8">
        <v>303733</v>
      </c>
      <c r="AE66" s="3">
        <v>466900</v>
      </c>
      <c r="AF66" s="3">
        <v>106376</v>
      </c>
      <c r="AG66" s="3">
        <v>876960</v>
      </c>
      <c r="AH66" s="3">
        <v>28668</v>
      </c>
      <c r="AI66" s="1">
        <v>265339</v>
      </c>
      <c r="AJ66" s="1" t="s">
        <v>564</v>
      </c>
      <c r="AK66" s="2">
        <v>1614870</v>
      </c>
      <c r="AL66" s="2">
        <v>936766</v>
      </c>
      <c r="AM66" s="1" t="s">
        <v>564</v>
      </c>
      <c r="AN66" s="64" t="s">
        <v>564</v>
      </c>
      <c r="AO66" s="64" t="s">
        <v>564</v>
      </c>
      <c r="AP66" s="64" t="s">
        <v>564</v>
      </c>
      <c r="AQ66" s="64" t="s">
        <v>564</v>
      </c>
      <c r="AR66" s="64" t="s">
        <v>564</v>
      </c>
      <c r="AS66" s="42" t="s">
        <v>3</v>
      </c>
      <c r="AT66" s="42" t="s">
        <v>3</v>
      </c>
      <c r="AU66" s="42" t="s">
        <v>3</v>
      </c>
      <c r="AV66" s="42" t="s">
        <v>3</v>
      </c>
      <c r="AW66" s="53">
        <v>127404</v>
      </c>
      <c r="AX66" s="53">
        <v>11101</v>
      </c>
      <c r="AY66" s="57">
        <v>22081574</v>
      </c>
      <c r="AZ66" s="57">
        <v>2165036</v>
      </c>
      <c r="BA66" s="121" t="s">
        <v>3</v>
      </c>
      <c r="BB66" s="4" t="s">
        <v>3</v>
      </c>
      <c r="BC66" s="38" t="s">
        <v>3</v>
      </c>
      <c r="BD66" s="3">
        <v>61400</v>
      </c>
    </row>
    <row r="67" spans="1:56" ht="15" customHeight="1" x14ac:dyDescent="0.25">
      <c r="A67" s="38" t="s">
        <v>22</v>
      </c>
      <c r="B67" s="38" t="s">
        <v>139</v>
      </c>
      <c r="C67" s="38" t="s">
        <v>193</v>
      </c>
      <c r="D67" s="48">
        <v>353.21558900000002</v>
      </c>
      <c r="E67" s="92">
        <f t="shared" si="0"/>
        <v>8.3333333333333321</v>
      </c>
      <c r="F67" s="12" t="s">
        <v>564</v>
      </c>
      <c r="G67" s="12" t="s">
        <v>564</v>
      </c>
      <c r="H67" s="12" t="s">
        <v>564</v>
      </c>
      <c r="I67" s="11" t="s">
        <v>3</v>
      </c>
      <c r="J67" s="11" t="s">
        <v>3</v>
      </c>
      <c r="K67" s="114" t="s">
        <v>3</v>
      </c>
      <c r="L67" s="5" t="s">
        <v>3</v>
      </c>
      <c r="M67" s="5" t="s">
        <v>3</v>
      </c>
      <c r="N67" s="5" t="s">
        <v>3</v>
      </c>
      <c r="O67" s="5" t="s">
        <v>3</v>
      </c>
      <c r="P67" s="5" t="s">
        <v>3</v>
      </c>
      <c r="Q67" s="5" t="s">
        <v>3</v>
      </c>
      <c r="R67" s="5" t="s">
        <v>3</v>
      </c>
      <c r="S67" s="5" t="s">
        <v>3</v>
      </c>
      <c r="T67" s="5" t="s">
        <v>3</v>
      </c>
      <c r="U67" s="5" t="s">
        <v>3</v>
      </c>
      <c r="V67" s="5" t="s">
        <v>3</v>
      </c>
      <c r="W67" s="14" t="s">
        <v>564</v>
      </c>
      <c r="X67" s="14" t="s">
        <v>564</v>
      </c>
      <c r="Y67" s="14" t="s">
        <v>564</v>
      </c>
      <c r="Z67" s="40" t="s">
        <v>3</v>
      </c>
      <c r="AA67" s="6" t="s">
        <v>3</v>
      </c>
      <c r="AB67" s="6" t="s">
        <v>3</v>
      </c>
      <c r="AC67" s="8">
        <v>370786</v>
      </c>
      <c r="AD67" s="8" t="s">
        <v>3</v>
      </c>
      <c r="AE67" s="3">
        <v>5836</v>
      </c>
      <c r="AF67" s="3">
        <v>852</v>
      </c>
      <c r="AG67" s="3">
        <v>19364</v>
      </c>
      <c r="AH67" s="3" t="s">
        <v>3</v>
      </c>
      <c r="AI67" s="1" t="s">
        <v>3</v>
      </c>
      <c r="AJ67" s="1" t="s">
        <v>564</v>
      </c>
      <c r="AK67" s="1" t="s">
        <v>3</v>
      </c>
      <c r="AL67" s="1" t="s">
        <v>3</v>
      </c>
      <c r="AM67" s="1" t="s">
        <v>564</v>
      </c>
      <c r="AN67" s="64" t="s">
        <v>564</v>
      </c>
      <c r="AO67" s="64" t="s">
        <v>564</v>
      </c>
      <c r="AP67" s="64" t="s">
        <v>564</v>
      </c>
      <c r="AQ67" s="64" t="s">
        <v>564</v>
      </c>
      <c r="AR67" s="64" t="s">
        <v>564</v>
      </c>
      <c r="AS67" s="42" t="s">
        <v>3</v>
      </c>
      <c r="AT67" s="42" t="s">
        <v>3</v>
      </c>
      <c r="AU67" s="42" t="s">
        <v>3</v>
      </c>
      <c r="AV67" s="42" t="s">
        <v>3</v>
      </c>
      <c r="AW67" s="53" t="s">
        <v>3</v>
      </c>
      <c r="AX67" s="53" t="s">
        <v>3</v>
      </c>
      <c r="AY67" s="57" t="s">
        <v>3</v>
      </c>
      <c r="AZ67" s="57" t="s">
        <v>3</v>
      </c>
      <c r="BA67" s="121" t="s">
        <v>3</v>
      </c>
      <c r="BB67" s="4" t="s">
        <v>3</v>
      </c>
      <c r="BC67" s="38" t="s">
        <v>3</v>
      </c>
      <c r="BD67" s="3">
        <v>1288</v>
      </c>
    </row>
    <row r="68" spans="1:56" ht="15" customHeight="1" x14ac:dyDescent="0.25">
      <c r="A68" s="38" t="s">
        <v>0</v>
      </c>
      <c r="B68" s="38" t="s">
        <v>139</v>
      </c>
      <c r="C68" s="38" t="s">
        <v>194</v>
      </c>
      <c r="D68" s="48">
        <v>299.095868</v>
      </c>
      <c r="E68" s="92">
        <f t="shared" si="0"/>
        <v>47.916666666666671</v>
      </c>
      <c r="F68" s="12" t="s">
        <v>564</v>
      </c>
      <c r="G68" s="12" t="s">
        <v>564</v>
      </c>
      <c r="H68" s="12" t="s">
        <v>564</v>
      </c>
      <c r="I68" s="11" t="s">
        <v>3</v>
      </c>
      <c r="J68" s="11" t="s">
        <v>3</v>
      </c>
      <c r="K68" s="114" t="s">
        <v>3</v>
      </c>
      <c r="L68" s="5" t="s">
        <v>3</v>
      </c>
      <c r="M68" s="5">
        <v>7140571</v>
      </c>
      <c r="N68" s="5">
        <v>3361794</v>
      </c>
      <c r="O68" s="5">
        <v>7019535</v>
      </c>
      <c r="P68" s="5">
        <v>5714545</v>
      </c>
      <c r="Q68" s="5">
        <v>7662060</v>
      </c>
      <c r="R68" s="5">
        <v>6381202</v>
      </c>
      <c r="S68" s="5">
        <v>3254083</v>
      </c>
      <c r="T68" s="5">
        <v>8575881</v>
      </c>
      <c r="U68" s="5">
        <v>9528966</v>
      </c>
      <c r="V68" s="5">
        <v>3171510</v>
      </c>
      <c r="W68" s="14" t="s">
        <v>564</v>
      </c>
      <c r="X68" s="14" t="s">
        <v>564</v>
      </c>
      <c r="Y68" s="14" t="s">
        <v>564</v>
      </c>
      <c r="Z68" s="40">
        <v>25386692</v>
      </c>
      <c r="AA68" s="6">
        <v>45651212</v>
      </c>
      <c r="AB68" s="6">
        <v>77921</v>
      </c>
      <c r="AC68" s="8">
        <v>2284677</v>
      </c>
      <c r="AD68" s="8" t="s">
        <v>3</v>
      </c>
      <c r="AE68" s="3">
        <v>36056</v>
      </c>
      <c r="AF68" s="3">
        <v>6120</v>
      </c>
      <c r="AG68" s="3" t="s">
        <v>3</v>
      </c>
      <c r="AH68" s="3" t="s">
        <v>3</v>
      </c>
      <c r="AI68" s="1">
        <v>124899</v>
      </c>
      <c r="AJ68" s="1" t="s">
        <v>564</v>
      </c>
      <c r="AK68" s="2">
        <v>3122356</v>
      </c>
      <c r="AL68" s="2">
        <v>13095</v>
      </c>
      <c r="AM68" s="1" t="s">
        <v>564</v>
      </c>
      <c r="AN68" s="64" t="s">
        <v>564</v>
      </c>
      <c r="AO68" s="64" t="s">
        <v>564</v>
      </c>
      <c r="AP68" s="64" t="s">
        <v>564</v>
      </c>
      <c r="AQ68" s="64" t="s">
        <v>564</v>
      </c>
      <c r="AR68" s="64" t="s">
        <v>564</v>
      </c>
      <c r="AS68" s="42" t="s">
        <v>3</v>
      </c>
      <c r="AT68" s="42" t="s">
        <v>3</v>
      </c>
      <c r="AU68" s="42" t="s">
        <v>3</v>
      </c>
      <c r="AV68" s="42" t="s">
        <v>3</v>
      </c>
      <c r="AW68" s="53">
        <v>327156</v>
      </c>
      <c r="AX68" s="53">
        <v>24628</v>
      </c>
      <c r="AY68" s="57" t="s">
        <v>3</v>
      </c>
      <c r="AZ68" s="57">
        <v>2116852</v>
      </c>
      <c r="BA68" s="121">
        <v>1311632</v>
      </c>
      <c r="BB68" s="4" t="s">
        <v>3</v>
      </c>
      <c r="BC68" s="38" t="s">
        <v>131</v>
      </c>
      <c r="BD68" s="3">
        <v>2928</v>
      </c>
    </row>
    <row r="69" spans="1:56" ht="15" customHeight="1" x14ac:dyDescent="0.25">
      <c r="A69" s="38" t="s">
        <v>87</v>
      </c>
      <c r="B69" s="38" t="s">
        <v>138</v>
      </c>
      <c r="C69" s="38" t="s">
        <v>195</v>
      </c>
      <c r="D69" s="48">
        <v>96.044390000000007</v>
      </c>
      <c r="E69" s="92">
        <f t="shared" ref="E69:E132" si="1">COUNTIF(L69:BA69,"&gt;1")/48*100</f>
        <v>4.1666666666666661</v>
      </c>
      <c r="F69" s="12" t="s">
        <v>3</v>
      </c>
      <c r="G69" s="12" t="s">
        <v>3</v>
      </c>
      <c r="H69" s="12" t="s">
        <v>3</v>
      </c>
      <c r="I69" s="11" t="s">
        <v>3</v>
      </c>
      <c r="J69" s="11" t="s">
        <v>3</v>
      </c>
      <c r="K69" s="114" t="s">
        <v>3</v>
      </c>
      <c r="L69" s="4" t="s">
        <v>3</v>
      </c>
      <c r="M69" s="4" t="s">
        <v>3</v>
      </c>
      <c r="N69" s="4" t="s">
        <v>3</v>
      </c>
      <c r="O69" s="4" t="s">
        <v>3</v>
      </c>
      <c r="P69" s="4" t="s">
        <v>3</v>
      </c>
      <c r="Q69" s="4" t="s">
        <v>3</v>
      </c>
      <c r="R69" s="4" t="s">
        <v>3</v>
      </c>
      <c r="S69" s="4" t="s">
        <v>3</v>
      </c>
      <c r="T69" s="4" t="s">
        <v>3</v>
      </c>
      <c r="U69" s="4" t="s">
        <v>3</v>
      </c>
      <c r="V69" s="4" t="s">
        <v>3</v>
      </c>
      <c r="W69" s="14" t="s">
        <v>3</v>
      </c>
      <c r="X69" s="14" t="s">
        <v>3</v>
      </c>
      <c r="Y69" s="14" t="s">
        <v>3</v>
      </c>
      <c r="Z69" s="39" t="s">
        <v>3</v>
      </c>
      <c r="AA69" s="7" t="s">
        <v>3</v>
      </c>
      <c r="AB69" s="7" t="s">
        <v>3</v>
      </c>
      <c r="AC69" s="9" t="s">
        <v>3</v>
      </c>
      <c r="AD69" s="9" t="s">
        <v>3</v>
      </c>
      <c r="AE69" s="3">
        <v>586548</v>
      </c>
      <c r="AF69" s="3">
        <v>6564</v>
      </c>
      <c r="AG69" s="3" t="s">
        <v>3</v>
      </c>
      <c r="AH69" s="3" t="s">
        <v>3</v>
      </c>
      <c r="AI69" s="1" t="s">
        <v>3</v>
      </c>
      <c r="AJ69" s="1" t="s">
        <v>3</v>
      </c>
      <c r="AK69" s="1" t="s">
        <v>3</v>
      </c>
      <c r="AL69" s="1" t="s">
        <v>3</v>
      </c>
      <c r="AM69" s="1" t="s">
        <v>3</v>
      </c>
      <c r="AN69" s="64" t="s">
        <v>3</v>
      </c>
      <c r="AO69" s="64" t="s">
        <v>3</v>
      </c>
      <c r="AP69" s="64" t="s">
        <v>3</v>
      </c>
      <c r="AQ69" s="64" t="s">
        <v>3</v>
      </c>
      <c r="AR69" s="64" t="s">
        <v>3</v>
      </c>
      <c r="AS69" s="42" t="s">
        <v>3</v>
      </c>
      <c r="AT69" s="42" t="s">
        <v>3</v>
      </c>
      <c r="AU69" s="42" t="s">
        <v>3</v>
      </c>
      <c r="AV69" s="42" t="s">
        <v>3</v>
      </c>
      <c r="AW69" s="53" t="s">
        <v>3</v>
      </c>
      <c r="AX69" s="53" t="s">
        <v>3</v>
      </c>
      <c r="AY69" s="57" t="s">
        <v>3</v>
      </c>
      <c r="AZ69" s="57" t="s">
        <v>3</v>
      </c>
      <c r="BA69" s="121" t="s">
        <v>3</v>
      </c>
      <c r="BB69" s="4" t="s">
        <v>3</v>
      </c>
      <c r="BC69" s="38" t="s">
        <v>3</v>
      </c>
      <c r="BD69" s="3" t="s">
        <v>3</v>
      </c>
    </row>
    <row r="70" spans="1:56" ht="15" customHeight="1" x14ac:dyDescent="0.25">
      <c r="A70" s="38" t="s">
        <v>105</v>
      </c>
      <c r="B70" s="38" t="s">
        <v>138</v>
      </c>
      <c r="C70" s="38" t="s">
        <v>196</v>
      </c>
      <c r="D70" s="48">
        <v>100.07568999999999</v>
      </c>
      <c r="E70" s="92">
        <f t="shared" si="1"/>
        <v>22.916666666666664</v>
      </c>
      <c r="F70" s="12" t="s">
        <v>3</v>
      </c>
      <c r="G70" s="12" t="s">
        <v>3</v>
      </c>
      <c r="H70" s="12" t="s">
        <v>3</v>
      </c>
      <c r="I70" s="11" t="s">
        <v>3</v>
      </c>
      <c r="J70" s="11" t="s">
        <v>3</v>
      </c>
      <c r="K70" s="114" t="s">
        <v>3</v>
      </c>
      <c r="L70" s="4" t="s">
        <v>3</v>
      </c>
      <c r="M70" s="4" t="s">
        <v>3</v>
      </c>
      <c r="N70" s="4" t="s">
        <v>3</v>
      </c>
      <c r="O70" s="4" t="s">
        <v>3</v>
      </c>
      <c r="P70" s="4" t="s">
        <v>3</v>
      </c>
      <c r="Q70" s="4" t="s">
        <v>3</v>
      </c>
      <c r="R70" s="4" t="s">
        <v>3</v>
      </c>
      <c r="S70" s="4" t="s">
        <v>3</v>
      </c>
      <c r="T70" s="4" t="s">
        <v>3</v>
      </c>
      <c r="U70" s="4" t="s">
        <v>3</v>
      </c>
      <c r="V70" s="4" t="s">
        <v>3</v>
      </c>
      <c r="W70" s="135">
        <v>2034929</v>
      </c>
      <c r="X70" s="135">
        <v>2530747</v>
      </c>
      <c r="Y70" s="14" t="s">
        <v>3</v>
      </c>
      <c r="Z70" s="39" t="s">
        <v>3</v>
      </c>
      <c r="AA70" s="134">
        <v>8818690</v>
      </c>
      <c r="AB70" s="7" t="s">
        <v>3</v>
      </c>
      <c r="AC70" s="133">
        <v>22925318</v>
      </c>
      <c r="AD70" s="9" t="s">
        <v>3</v>
      </c>
      <c r="AE70" s="3">
        <v>1194936</v>
      </c>
      <c r="AF70" s="3">
        <v>49304</v>
      </c>
      <c r="AG70" s="3">
        <v>1180692</v>
      </c>
      <c r="AH70" s="3">
        <v>15832</v>
      </c>
      <c r="AI70" s="1" t="s">
        <v>3</v>
      </c>
      <c r="AJ70" s="1" t="s">
        <v>3</v>
      </c>
      <c r="AK70" s="1" t="s">
        <v>3</v>
      </c>
      <c r="AL70" s="1" t="s">
        <v>3</v>
      </c>
      <c r="AM70" s="1" t="s">
        <v>3</v>
      </c>
      <c r="AN70" s="64" t="s">
        <v>3</v>
      </c>
      <c r="AO70" s="64" t="s">
        <v>3</v>
      </c>
      <c r="AP70" s="64" t="s">
        <v>3</v>
      </c>
      <c r="AQ70" s="64" t="s">
        <v>3</v>
      </c>
      <c r="AR70" s="64" t="s">
        <v>3</v>
      </c>
      <c r="AS70" s="42" t="s">
        <v>3</v>
      </c>
      <c r="AT70" s="42" t="s">
        <v>3</v>
      </c>
      <c r="AU70" s="42" t="s">
        <v>3</v>
      </c>
      <c r="AV70" s="42" t="s">
        <v>3</v>
      </c>
      <c r="AW70" s="53">
        <v>23722</v>
      </c>
      <c r="AX70" s="53" t="s">
        <v>3</v>
      </c>
      <c r="AY70" s="57">
        <v>364882</v>
      </c>
      <c r="AZ70" s="57" t="s">
        <v>3</v>
      </c>
      <c r="BA70" s="121">
        <v>77342</v>
      </c>
      <c r="BB70" s="4" t="s">
        <v>3</v>
      </c>
      <c r="BC70" s="38" t="s">
        <v>3</v>
      </c>
      <c r="BD70" s="3">
        <v>21540</v>
      </c>
    </row>
    <row r="71" spans="1:56" ht="15" customHeight="1" x14ac:dyDescent="0.25">
      <c r="A71" s="38" t="s">
        <v>116</v>
      </c>
      <c r="B71" s="38" t="s">
        <v>138</v>
      </c>
      <c r="C71" s="38" t="s">
        <v>197</v>
      </c>
      <c r="D71" s="48">
        <v>237.102239</v>
      </c>
      <c r="E71" s="92">
        <f t="shared" si="1"/>
        <v>75</v>
      </c>
      <c r="F71" s="12">
        <v>926132</v>
      </c>
      <c r="G71" s="12">
        <v>1532191</v>
      </c>
      <c r="H71" s="12">
        <v>5572</v>
      </c>
      <c r="I71" s="11" t="s">
        <v>3</v>
      </c>
      <c r="J71" s="10">
        <v>632169</v>
      </c>
      <c r="K71" s="115">
        <v>455017</v>
      </c>
      <c r="L71" s="5" t="s">
        <v>3</v>
      </c>
      <c r="M71" s="5">
        <v>2375627</v>
      </c>
      <c r="N71" s="5">
        <v>3311371</v>
      </c>
      <c r="O71" s="5">
        <v>1969780</v>
      </c>
      <c r="P71" s="5">
        <v>2226530</v>
      </c>
      <c r="Q71" s="5">
        <v>1760222</v>
      </c>
      <c r="R71" s="5">
        <v>1873278</v>
      </c>
      <c r="S71" s="5">
        <v>1234506</v>
      </c>
      <c r="T71" s="5">
        <v>1327856</v>
      </c>
      <c r="U71" s="5">
        <v>1649679</v>
      </c>
      <c r="V71" s="5">
        <v>2842247</v>
      </c>
      <c r="W71" s="13">
        <v>37336832</v>
      </c>
      <c r="X71" s="13">
        <v>58428316</v>
      </c>
      <c r="Y71" s="13">
        <v>2064162</v>
      </c>
      <c r="Z71" s="40">
        <v>64370372</v>
      </c>
      <c r="AA71" s="6">
        <v>42260880</v>
      </c>
      <c r="AB71" s="6" t="s">
        <v>3</v>
      </c>
      <c r="AC71" s="8">
        <v>5772825</v>
      </c>
      <c r="AD71" s="8" t="s">
        <v>3</v>
      </c>
      <c r="AE71" s="3">
        <v>19616</v>
      </c>
      <c r="AF71" s="3">
        <v>49448</v>
      </c>
      <c r="AG71" s="3">
        <v>6120</v>
      </c>
      <c r="AH71" s="3">
        <v>1676</v>
      </c>
      <c r="AI71" s="1">
        <v>140320</v>
      </c>
      <c r="AJ71" s="2">
        <v>227692</v>
      </c>
      <c r="AK71" s="1">
        <v>150050</v>
      </c>
      <c r="AL71" s="2">
        <v>644790</v>
      </c>
      <c r="AM71" s="2" t="s">
        <v>3</v>
      </c>
      <c r="AN71" s="67">
        <v>306430</v>
      </c>
      <c r="AO71" s="67">
        <v>15837</v>
      </c>
      <c r="AP71" s="67">
        <v>14010</v>
      </c>
      <c r="AQ71" s="67">
        <v>14850</v>
      </c>
      <c r="AR71" s="67">
        <v>3459</v>
      </c>
      <c r="AS71" s="42">
        <v>3364</v>
      </c>
      <c r="AT71" s="42">
        <v>18339</v>
      </c>
      <c r="AU71" s="42">
        <v>9808</v>
      </c>
      <c r="AV71" s="42">
        <v>7867</v>
      </c>
      <c r="AW71" s="53" t="s">
        <v>3</v>
      </c>
      <c r="AX71" s="53" t="s">
        <v>3</v>
      </c>
      <c r="AY71" s="57">
        <v>271743</v>
      </c>
      <c r="AZ71" s="57">
        <v>480246</v>
      </c>
      <c r="BA71" s="121">
        <v>1416690</v>
      </c>
      <c r="BB71" s="5">
        <v>2381554.898</v>
      </c>
      <c r="BC71" s="38" t="s">
        <v>137</v>
      </c>
      <c r="BD71" s="3">
        <v>56120</v>
      </c>
    </row>
    <row r="72" spans="1:56" ht="15" customHeight="1" x14ac:dyDescent="0.25">
      <c r="A72" s="38" t="s">
        <v>88</v>
      </c>
      <c r="B72" s="38" t="s">
        <v>138</v>
      </c>
      <c r="C72" s="38" t="s">
        <v>198</v>
      </c>
      <c r="D72" s="48">
        <v>255.11280400000001</v>
      </c>
      <c r="E72" s="92">
        <f t="shared" si="1"/>
        <v>43.75</v>
      </c>
      <c r="F72" s="12" t="s">
        <v>3</v>
      </c>
      <c r="G72" s="12" t="s">
        <v>3</v>
      </c>
      <c r="H72" s="12" t="s">
        <v>3</v>
      </c>
      <c r="I72" s="11" t="s">
        <v>3</v>
      </c>
      <c r="J72" s="11" t="s">
        <v>3</v>
      </c>
      <c r="K72" s="128">
        <v>42106</v>
      </c>
      <c r="L72" s="5" t="s">
        <v>3</v>
      </c>
      <c r="M72" s="5">
        <v>272111</v>
      </c>
      <c r="N72" s="5">
        <v>1224401</v>
      </c>
      <c r="O72" s="5">
        <v>871369</v>
      </c>
      <c r="P72" s="5">
        <v>832666</v>
      </c>
      <c r="Q72" s="5">
        <v>492307</v>
      </c>
      <c r="R72" s="5">
        <v>534393</v>
      </c>
      <c r="S72" s="5">
        <v>699782</v>
      </c>
      <c r="T72" s="5" t="s">
        <v>3</v>
      </c>
      <c r="U72" s="5">
        <v>1319655</v>
      </c>
      <c r="V72" s="5">
        <v>642786</v>
      </c>
      <c r="W72" s="13">
        <v>4231917</v>
      </c>
      <c r="X72" s="13">
        <v>5236194</v>
      </c>
      <c r="Y72" s="13" t="s">
        <v>3</v>
      </c>
      <c r="Z72" s="40" t="s">
        <v>3</v>
      </c>
      <c r="AA72" s="6">
        <v>3934366</v>
      </c>
      <c r="AB72" s="6" t="s">
        <v>3</v>
      </c>
      <c r="AC72" s="8">
        <v>2450206</v>
      </c>
      <c r="AD72" s="8" t="s">
        <v>3</v>
      </c>
      <c r="AE72" s="3">
        <v>18760</v>
      </c>
      <c r="AF72" s="3">
        <v>20980</v>
      </c>
      <c r="AG72" s="3" t="s">
        <v>3</v>
      </c>
      <c r="AH72" s="3" t="s">
        <v>3</v>
      </c>
      <c r="AI72" s="1">
        <v>18217</v>
      </c>
      <c r="AJ72" s="2">
        <v>38457</v>
      </c>
      <c r="AK72" s="1">
        <v>79333</v>
      </c>
      <c r="AL72" s="2">
        <v>83794</v>
      </c>
      <c r="AM72" s="2" t="s">
        <v>3</v>
      </c>
      <c r="AN72" s="67">
        <v>25804</v>
      </c>
      <c r="AO72" s="69" t="s">
        <v>3</v>
      </c>
      <c r="AP72" s="69" t="s">
        <v>3</v>
      </c>
      <c r="AQ72" s="69" t="s">
        <v>3</v>
      </c>
      <c r="AR72" s="69" t="s">
        <v>3</v>
      </c>
      <c r="AS72" s="42" t="s">
        <v>3</v>
      </c>
      <c r="AT72" s="130">
        <v>3872</v>
      </c>
      <c r="AU72" s="42" t="s">
        <v>3</v>
      </c>
      <c r="AV72" s="42" t="s">
        <v>3</v>
      </c>
      <c r="AW72" s="53" t="s">
        <v>3</v>
      </c>
      <c r="AX72" s="53" t="s">
        <v>3</v>
      </c>
      <c r="AY72" s="57" t="s">
        <v>3</v>
      </c>
      <c r="AZ72" s="57" t="s">
        <v>3</v>
      </c>
      <c r="BA72" s="121" t="s">
        <v>3</v>
      </c>
      <c r="BB72" s="4" t="s">
        <v>3</v>
      </c>
      <c r="BC72" s="38" t="s">
        <v>131</v>
      </c>
      <c r="BD72" s="3" t="s">
        <v>3</v>
      </c>
    </row>
    <row r="73" spans="1:56" ht="15" customHeight="1" x14ac:dyDescent="0.25">
      <c r="A73" s="38" t="s">
        <v>89</v>
      </c>
      <c r="B73" s="38" t="s">
        <v>138</v>
      </c>
      <c r="C73" s="38" t="s">
        <v>199</v>
      </c>
      <c r="D73" s="48">
        <v>415.16860500000001</v>
      </c>
      <c r="E73" s="92">
        <f t="shared" si="1"/>
        <v>31.25</v>
      </c>
      <c r="F73" s="12" t="s">
        <v>3</v>
      </c>
      <c r="G73" s="12" t="s">
        <v>3</v>
      </c>
      <c r="H73" s="12" t="s">
        <v>3</v>
      </c>
      <c r="I73" s="11" t="s">
        <v>3</v>
      </c>
      <c r="J73" s="11" t="s">
        <v>3</v>
      </c>
      <c r="K73" s="114" t="s">
        <v>3</v>
      </c>
      <c r="L73" s="5" t="s">
        <v>3</v>
      </c>
      <c r="M73" s="5">
        <v>80685</v>
      </c>
      <c r="N73" s="5">
        <v>53955</v>
      </c>
      <c r="O73" s="5">
        <v>98477</v>
      </c>
      <c r="P73" s="5">
        <v>117998</v>
      </c>
      <c r="Q73" s="5">
        <v>39470</v>
      </c>
      <c r="R73" s="5">
        <v>46167</v>
      </c>
      <c r="S73" s="5">
        <v>133417</v>
      </c>
      <c r="T73" s="5">
        <v>208656</v>
      </c>
      <c r="U73" s="5">
        <v>25614</v>
      </c>
      <c r="V73" s="5" t="s">
        <v>3</v>
      </c>
      <c r="W73" s="13" t="s">
        <v>3</v>
      </c>
      <c r="X73" s="13">
        <v>1022061</v>
      </c>
      <c r="Y73" s="13" t="s">
        <v>3</v>
      </c>
      <c r="Z73" s="40" t="s">
        <v>3</v>
      </c>
      <c r="AA73" s="6" t="s">
        <v>3</v>
      </c>
      <c r="AB73" s="6" t="s">
        <v>3</v>
      </c>
      <c r="AC73" s="8" t="s">
        <v>3</v>
      </c>
      <c r="AD73" s="8" t="s">
        <v>3</v>
      </c>
      <c r="AE73" s="3">
        <v>5296</v>
      </c>
      <c r="AF73" s="3">
        <v>2460</v>
      </c>
      <c r="AG73" s="3" t="s">
        <v>3</v>
      </c>
      <c r="AH73" s="3" t="s">
        <v>3</v>
      </c>
      <c r="AI73" s="1" t="s">
        <v>3</v>
      </c>
      <c r="AJ73" s="2">
        <v>57435</v>
      </c>
      <c r="AK73" s="1">
        <v>119395</v>
      </c>
      <c r="AL73" s="2">
        <v>288979</v>
      </c>
      <c r="AM73" s="2" t="s">
        <v>3</v>
      </c>
      <c r="AN73" s="64" t="s">
        <v>3</v>
      </c>
      <c r="AO73" s="64" t="s">
        <v>3</v>
      </c>
      <c r="AP73" s="64" t="s">
        <v>3</v>
      </c>
      <c r="AQ73" s="64" t="s">
        <v>3</v>
      </c>
      <c r="AR73" s="64" t="s">
        <v>3</v>
      </c>
      <c r="AS73" s="42" t="s">
        <v>3</v>
      </c>
      <c r="AT73" s="42" t="s">
        <v>3</v>
      </c>
      <c r="AU73" s="42" t="s">
        <v>3</v>
      </c>
      <c r="AV73" s="42" t="s">
        <v>3</v>
      </c>
      <c r="AW73" s="53" t="s">
        <v>3</v>
      </c>
      <c r="AX73" s="53" t="s">
        <v>3</v>
      </c>
      <c r="AY73" s="57" t="s">
        <v>3</v>
      </c>
      <c r="AZ73" s="57" t="s">
        <v>3</v>
      </c>
      <c r="BA73" s="121" t="s">
        <v>3</v>
      </c>
      <c r="BB73" s="4" t="s">
        <v>3</v>
      </c>
      <c r="BC73" s="38" t="s">
        <v>3</v>
      </c>
      <c r="BD73" s="3" t="s">
        <v>3</v>
      </c>
    </row>
    <row r="74" spans="1:56" ht="15" customHeight="1" x14ac:dyDescent="0.25">
      <c r="A74" s="38" t="s">
        <v>90</v>
      </c>
      <c r="B74" s="38" t="s">
        <v>138</v>
      </c>
      <c r="C74" s="38" t="s">
        <v>200</v>
      </c>
      <c r="D74" s="48">
        <v>373.15804000000003</v>
      </c>
      <c r="E74" s="92">
        <f t="shared" si="1"/>
        <v>39.583333333333329</v>
      </c>
      <c r="F74" s="12" t="s">
        <v>3</v>
      </c>
      <c r="G74" s="12" t="s">
        <v>3</v>
      </c>
      <c r="H74" s="12" t="s">
        <v>3</v>
      </c>
      <c r="I74" s="11" t="s">
        <v>3</v>
      </c>
      <c r="J74" s="11" t="s">
        <v>3</v>
      </c>
      <c r="K74" s="115">
        <v>429675</v>
      </c>
      <c r="L74" s="5" t="s">
        <v>3</v>
      </c>
      <c r="M74" s="5">
        <v>65121</v>
      </c>
      <c r="N74" s="5">
        <v>41961</v>
      </c>
      <c r="O74" s="5">
        <v>32697</v>
      </c>
      <c r="P74" s="5">
        <v>57732</v>
      </c>
      <c r="Q74" s="5">
        <v>50507</v>
      </c>
      <c r="R74" s="5">
        <v>39421</v>
      </c>
      <c r="S74" s="5">
        <v>103339</v>
      </c>
      <c r="T74" s="5">
        <v>106016</v>
      </c>
      <c r="U74" s="5" t="s">
        <v>3</v>
      </c>
      <c r="V74" s="5">
        <v>14841</v>
      </c>
      <c r="W74" s="13" t="s">
        <v>3</v>
      </c>
      <c r="X74" s="13">
        <v>863461</v>
      </c>
      <c r="Y74" s="13" t="s">
        <v>3</v>
      </c>
      <c r="Z74" s="40" t="s">
        <v>3</v>
      </c>
      <c r="AA74" s="6" t="s">
        <v>3</v>
      </c>
      <c r="AB74" s="6" t="s">
        <v>3</v>
      </c>
      <c r="AC74" s="8" t="s">
        <v>3</v>
      </c>
      <c r="AD74" s="8" t="s">
        <v>3</v>
      </c>
      <c r="AE74" s="3">
        <v>6100</v>
      </c>
      <c r="AF74" s="3">
        <v>15228</v>
      </c>
      <c r="AG74" s="3">
        <v>6448</v>
      </c>
      <c r="AH74" s="3" t="s">
        <v>3</v>
      </c>
      <c r="AI74" s="1">
        <v>42921</v>
      </c>
      <c r="AJ74" s="2">
        <v>41451</v>
      </c>
      <c r="AK74" s="1">
        <v>109093</v>
      </c>
      <c r="AL74" s="2">
        <v>313388</v>
      </c>
      <c r="AM74" s="2" t="s">
        <v>3</v>
      </c>
      <c r="AN74" s="64" t="s">
        <v>3</v>
      </c>
      <c r="AO74" s="64" t="s">
        <v>3</v>
      </c>
      <c r="AP74" s="64" t="s">
        <v>3</v>
      </c>
      <c r="AQ74" s="64" t="s">
        <v>3</v>
      </c>
      <c r="AR74" s="64" t="s">
        <v>3</v>
      </c>
      <c r="AS74" s="42" t="s">
        <v>3</v>
      </c>
      <c r="AT74" s="42" t="s">
        <v>3</v>
      </c>
      <c r="AU74" s="42" t="s">
        <v>3</v>
      </c>
      <c r="AV74" s="42" t="s">
        <v>3</v>
      </c>
      <c r="AW74" s="53" t="s">
        <v>3</v>
      </c>
      <c r="AX74" s="53" t="s">
        <v>3</v>
      </c>
      <c r="AY74" s="57" t="s">
        <v>3</v>
      </c>
      <c r="AZ74" s="57">
        <v>130825</v>
      </c>
      <c r="BA74" s="121">
        <v>292885</v>
      </c>
      <c r="BB74" s="4" t="s">
        <v>3</v>
      </c>
      <c r="BC74" s="38" t="s">
        <v>3</v>
      </c>
      <c r="BD74" s="3" t="s">
        <v>3</v>
      </c>
    </row>
    <row r="75" spans="1:56" ht="15" customHeight="1" x14ac:dyDescent="0.25">
      <c r="A75" s="38" t="s">
        <v>275</v>
      </c>
      <c r="B75" s="38" t="s">
        <v>138</v>
      </c>
      <c r="C75" s="38" t="s">
        <v>201</v>
      </c>
      <c r="D75" s="48">
        <v>401.15295500000002</v>
      </c>
      <c r="E75" s="92">
        <f t="shared" si="1"/>
        <v>31.25</v>
      </c>
      <c r="F75" s="12" t="s">
        <v>3</v>
      </c>
      <c r="G75" s="12" t="s">
        <v>3</v>
      </c>
      <c r="H75" s="12" t="s">
        <v>3</v>
      </c>
      <c r="I75" s="11" t="s">
        <v>3</v>
      </c>
      <c r="J75" s="11" t="s">
        <v>3</v>
      </c>
      <c r="K75" s="114" t="s">
        <v>3</v>
      </c>
      <c r="L75" s="5" t="s">
        <v>3</v>
      </c>
      <c r="M75" s="5">
        <v>61328</v>
      </c>
      <c r="N75" s="5">
        <v>27684</v>
      </c>
      <c r="O75" s="5">
        <v>35776</v>
      </c>
      <c r="P75" s="5">
        <v>65824</v>
      </c>
      <c r="Q75" s="5">
        <v>20025</v>
      </c>
      <c r="R75" s="5">
        <v>23978</v>
      </c>
      <c r="S75" s="5">
        <v>52471</v>
      </c>
      <c r="T75" s="5">
        <v>84132</v>
      </c>
      <c r="U75" s="5">
        <v>14289</v>
      </c>
      <c r="V75" s="5">
        <v>6907</v>
      </c>
      <c r="W75" s="13" t="s">
        <v>3</v>
      </c>
      <c r="X75" s="13" t="s">
        <v>3</v>
      </c>
      <c r="Y75" s="13" t="s">
        <v>3</v>
      </c>
      <c r="Z75" s="40" t="s">
        <v>3</v>
      </c>
      <c r="AA75" s="6" t="s">
        <v>3</v>
      </c>
      <c r="AB75" s="6" t="s">
        <v>3</v>
      </c>
      <c r="AC75" s="8" t="s">
        <v>3</v>
      </c>
      <c r="AD75" s="8" t="s">
        <v>3</v>
      </c>
      <c r="AE75" s="3">
        <v>3600</v>
      </c>
      <c r="AF75" s="3">
        <v>1272</v>
      </c>
      <c r="AG75" s="3" t="s">
        <v>3</v>
      </c>
      <c r="AH75" s="3" t="s">
        <v>3</v>
      </c>
      <c r="AI75" s="1" t="s">
        <v>3</v>
      </c>
      <c r="AJ75" s="2">
        <v>19142</v>
      </c>
      <c r="AK75" s="1">
        <v>48247</v>
      </c>
      <c r="AL75" s="2">
        <v>111085</v>
      </c>
      <c r="AM75" s="2" t="s">
        <v>3</v>
      </c>
      <c r="AN75" s="64" t="s">
        <v>3</v>
      </c>
      <c r="AO75" s="64" t="s">
        <v>3</v>
      </c>
      <c r="AP75" s="64" t="s">
        <v>3</v>
      </c>
      <c r="AQ75" s="64" t="s">
        <v>3</v>
      </c>
      <c r="AR75" s="64" t="s">
        <v>3</v>
      </c>
      <c r="AS75" s="42" t="s">
        <v>3</v>
      </c>
      <c r="AT75" s="42" t="s">
        <v>3</v>
      </c>
      <c r="AU75" s="42" t="s">
        <v>3</v>
      </c>
      <c r="AV75" s="42" t="s">
        <v>3</v>
      </c>
      <c r="AW75" s="53" t="s">
        <v>3</v>
      </c>
      <c r="AX75" s="53" t="s">
        <v>3</v>
      </c>
      <c r="AY75" s="57" t="s">
        <v>3</v>
      </c>
      <c r="AZ75" s="57" t="s">
        <v>3</v>
      </c>
      <c r="BA75" s="121" t="s">
        <v>3</v>
      </c>
      <c r="BB75" s="4" t="s">
        <v>3</v>
      </c>
      <c r="BC75" s="38" t="s">
        <v>3</v>
      </c>
      <c r="BD75" s="3" t="s">
        <v>3</v>
      </c>
    </row>
    <row r="76" spans="1:56" ht="15" customHeight="1" x14ac:dyDescent="0.25">
      <c r="A76" s="38" t="s">
        <v>276</v>
      </c>
      <c r="B76" s="38" t="s">
        <v>138</v>
      </c>
      <c r="C76" s="38" t="s">
        <v>201</v>
      </c>
      <c r="D76" s="48">
        <v>401.15295500000002</v>
      </c>
      <c r="E76" s="92">
        <f t="shared" si="1"/>
        <v>31.25</v>
      </c>
      <c r="F76" s="12" t="s">
        <v>3</v>
      </c>
      <c r="G76" s="12" t="s">
        <v>3</v>
      </c>
      <c r="H76" s="12" t="s">
        <v>3</v>
      </c>
      <c r="I76" s="11" t="s">
        <v>3</v>
      </c>
      <c r="J76" s="11" t="s">
        <v>3</v>
      </c>
      <c r="K76" s="114" t="s">
        <v>3</v>
      </c>
      <c r="L76" s="5" t="s">
        <v>3</v>
      </c>
      <c r="M76" s="5">
        <v>64947</v>
      </c>
      <c r="N76" s="5">
        <v>28126</v>
      </c>
      <c r="O76" s="5">
        <v>65871</v>
      </c>
      <c r="P76" s="5">
        <v>111543</v>
      </c>
      <c r="Q76" s="5">
        <v>39787</v>
      </c>
      <c r="R76" s="5">
        <v>34225</v>
      </c>
      <c r="S76" s="5">
        <v>83712</v>
      </c>
      <c r="T76" s="5">
        <v>160044</v>
      </c>
      <c r="U76" s="5">
        <v>18254</v>
      </c>
      <c r="V76" s="5">
        <v>21012</v>
      </c>
      <c r="W76" s="13" t="s">
        <v>3</v>
      </c>
      <c r="X76" s="13" t="s">
        <v>3</v>
      </c>
      <c r="Y76" s="13" t="s">
        <v>3</v>
      </c>
      <c r="Z76" s="40" t="s">
        <v>3</v>
      </c>
      <c r="AA76" s="6" t="s">
        <v>3</v>
      </c>
      <c r="AB76" s="6" t="s">
        <v>3</v>
      </c>
      <c r="AC76" s="8" t="s">
        <v>3</v>
      </c>
      <c r="AD76" s="8" t="s">
        <v>3</v>
      </c>
      <c r="AE76" s="3">
        <v>1448</v>
      </c>
      <c r="AF76" s="3">
        <v>720</v>
      </c>
      <c r="AG76" s="3" t="s">
        <v>3</v>
      </c>
      <c r="AH76" s="3" t="s">
        <v>3</v>
      </c>
      <c r="AI76" s="1" t="s">
        <v>3</v>
      </c>
      <c r="AJ76" s="2">
        <v>14564</v>
      </c>
      <c r="AK76" s="1">
        <v>29236</v>
      </c>
      <c r="AL76" s="2">
        <v>101056</v>
      </c>
      <c r="AM76" s="2" t="s">
        <v>3</v>
      </c>
      <c r="AN76" s="64" t="s">
        <v>3</v>
      </c>
      <c r="AO76" s="64" t="s">
        <v>3</v>
      </c>
      <c r="AP76" s="64" t="s">
        <v>3</v>
      </c>
      <c r="AQ76" s="64" t="s">
        <v>3</v>
      </c>
      <c r="AR76" s="64" t="s">
        <v>3</v>
      </c>
      <c r="AS76" s="42" t="s">
        <v>3</v>
      </c>
      <c r="AT76" s="42" t="s">
        <v>3</v>
      </c>
      <c r="AU76" s="42" t="s">
        <v>3</v>
      </c>
      <c r="AV76" s="42" t="s">
        <v>3</v>
      </c>
      <c r="AW76" s="53" t="s">
        <v>3</v>
      </c>
      <c r="AX76" s="53" t="s">
        <v>3</v>
      </c>
      <c r="AY76" s="57" t="s">
        <v>3</v>
      </c>
      <c r="AZ76" s="57" t="s">
        <v>3</v>
      </c>
      <c r="BA76" s="121" t="s">
        <v>3</v>
      </c>
      <c r="BB76" s="4" t="s">
        <v>3</v>
      </c>
      <c r="BC76" s="38" t="s">
        <v>3</v>
      </c>
      <c r="BD76" s="3" t="s">
        <v>3</v>
      </c>
    </row>
    <row r="77" spans="1:56" ht="15" customHeight="1" x14ac:dyDescent="0.25">
      <c r="A77" s="38" t="s">
        <v>53</v>
      </c>
      <c r="B77" s="38" t="s">
        <v>138</v>
      </c>
      <c r="C77" s="38" t="s">
        <v>202</v>
      </c>
      <c r="D77" s="48">
        <v>423.169464</v>
      </c>
      <c r="E77" s="92">
        <f t="shared" si="1"/>
        <v>33.333333333333329</v>
      </c>
      <c r="F77" s="126">
        <v>186706</v>
      </c>
      <c r="G77" s="126">
        <v>311439</v>
      </c>
      <c r="H77" s="12" t="s">
        <v>3</v>
      </c>
      <c r="I77" s="11" t="s">
        <v>3</v>
      </c>
      <c r="J77" s="11" t="s">
        <v>3</v>
      </c>
      <c r="K77" s="128">
        <v>63403</v>
      </c>
      <c r="L77" s="5" t="s">
        <v>3</v>
      </c>
      <c r="M77" s="5" t="s">
        <v>3</v>
      </c>
      <c r="N77" s="5" t="s">
        <v>3</v>
      </c>
      <c r="O77" s="5">
        <v>16941</v>
      </c>
      <c r="P77" s="5" t="s">
        <v>3</v>
      </c>
      <c r="Q77" s="5" t="s">
        <v>3</v>
      </c>
      <c r="R77" s="5" t="s">
        <v>3</v>
      </c>
      <c r="S77" s="5">
        <v>32728</v>
      </c>
      <c r="T77" s="5" t="s">
        <v>3</v>
      </c>
      <c r="U77" s="5">
        <v>36754</v>
      </c>
      <c r="V77" s="5" t="s">
        <v>3</v>
      </c>
      <c r="W77" s="13" t="s">
        <v>3</v>
      </c>
      <c r="X77" s="13" t="s">
        <v>3</v>
      </c>
      <c r="Y77" s="13" t="s">
        <v>3</v>
      </c>
      <c r="Z77" s="40">
        <v>3977186</v>
      </c>
      <c r="AA77" s="6" t="s">
        <v>3</v>
      </c>
      <c r="AB77" s="6" t="s">
        <v>3</v>
      </c>
      <c r="AC77" s="8" t="s">
        <v>3</v>
      </c>
      <c r="AD77" s="8" t="s">
        <v>3</v>
      </c>
      <c r="AE77" s="3">
        <f>2856</f>
        <v>2856</v>
      </c>
      <c r="AF77" s="3">
        <f>1040</f>
        <v>1040</v>
      </c>
      <c r="AG77" s="3">
        <v>828</v>
      </c>
      <c r="AH77" s="3" t="s">
        <v>3</v>
      </c>
      <c r="AI77" s="1" t="s">
        <v>3</v>
      </c>
      <c r="AJ77" s="2">
        <v>195802</v>
      </c>
      <c r="AK77" s="1">
        <v>224157</v>
      </c>
      <c r="AL77" s="2">
        <v>9114</v>
      </c>
      <c r="AM77" s="2" t="s">
        <v>3</v>
      </c>
      <c r="AN77" s="67">
        <v>36693</v>
      </c>
      <c r="AO77" s="67">
        <v>10332</v>
      </c>
      <c r="AP77" s="67">
        <v>2976</v>
      </c>
      <c r="AQ77" s="67">
        <v>7792</v>
      </c>
      <c r="AR77" s="67">
        <v>4991</v>
      </c>
      <c r="AS77" s="42" t="s">
        <v>3</v>
      </c>
      <c r="AT77" s="42">
        <v>4898</v>
      </c>
      <c r="AU77" s="42" t="s">
        <v>3</v>
      </c>
      <c r="AV77" s="42" t="s">
        <v>3</v>
      </c>
      <c r="AW77" s="53" t="s">
        <v>3</v>
      </c>
      <c r="AX77" s="53" t="s">
        <v>3</v>
      </c>
      <c r="AY77" s="57" t="s">
        <v>3</v>
      </c>
      <c r="AZ77" s="57" t="s">
        <v>3</v>
      </c>
      <c r="BA77" s="121" t="s">
        <v>3</v>
      </c>
      <c r="BB77" s="4" t="s">
        <v>3</v>
      </c>
      <c r="BC77" s="38" t="s">
        <v>137</v>
      </c>
      <c r="BD77" s="3" t="s">
        <v>3</v>
      </c>
    </row>
    <row r="78" spans="1:56" ht="15" customHeight="1" x14ac:dyDescent="0.25">
      <c r="A78" s="38" t="s">
        <v>53</v>
      </c>
      <c r="B78" s="38" t="s">
        <v>139</v>
      </c>
      <c r="C78" s="38" t="s">
        <v>202</v>
      </c>
      <c r="D78" s="48">
        <v>421.15491100000003</v>
      </c>
      <c r="E78" s="92">
        <f t="shared" si="1"/>
        <v>18.75</v>
      </c>
      <c r="F78" s="12" t="s">
        <v>564</v>
      </c>
      <c r="G78" s="12" t="s">
        <v>564</v>
      </c>
      <c r="H78" s="12" t="s">
        <v>564</v>
      </c>
      <c r="I78" s="11" t="s">
        <v>3</v>
      </c>
      <c r="J78" s="11" t="s">
        <v>3</v>
      </c>
      <c r="K78" s="128">
        <v>49402</v>
      </c>
      <c r="L78" s="5" t="s">
        <v>3</v>
      </c>
      <c r="M78" s="5">
        <v>6421</v>
      </c>
      <c r="N78" s="5" t="s">
        <v>3</v>
      </c>
      <c r="O78" s="5">
        <v>8928</v>
      </c>
      <c r="P78" s="5" t="s">
        <v>3</v>
      </c>
      <c r="Q78" s="5" t="s">
        <v>3</v>
      </c>
      <c r="R78" s="5" t="s">
        <v>3</v>
      </c>
      <c r="S78" s="5">
        <v>19801</v>
      </c>
      <c r="T78" s="5" t="s">
        <v>3</v>
      </c>
      <c r="U78" s="5">
        <v>10232</v>
      </c>
      <c r="V78" s="5" t="s">
        <v>3</v>
      </c>
      <c r="W78" s="14" t="s">
        <v>564</v>
      </c>
      <c r="X78" s="14" t="s">
        <v>564</v>
      </c>
      <c r="Y78" s="14" t="s">
        <v>564</v>
      </c>
      <c r="Z78" s="40" t="s">
        <v>3</v>
      </c>
      <c r="AA78" s="6" t="s">
        <v>3</v>
      </c>
      <c r="AB78" s="6" t="s">
        <v>3</v>
      </c>
      <c r="AC78" s="8" t="s">
        <v>3</v>
      </c>
      <c r="AD78" s="8" t="s">
        <v>3</v>
      </c>
      <c r="AE78" s="3">
        <v>340</v>
      </c>
      <c r="AF78" s="3">
        <v>272</v>
      </c>
      <c r="AG78" s="3">
        <v>700</v>
      </c>
      <c r="AH78" s="3" t="s">
        <v>3</v>
      </c>
      <c r="AI78" s="1" t="s">
        <v>3</v>
      </c>
      <c r="AJ78" s="1" t="s">
        <v>564</v>
      </c>
      <c r="AK78" s="2">
        <v>87559</v>
      </c>
      <c r="AL78" s="2">
        <v>3988</v>
      </c>
      <c r="AM78" s="1" t="s">
        <v>564</v>
      </c>
      <c r="AN78" s="64" t="s">
        <v>564</v>
      </c>
      <c r="AO78" s="64" t="s">
        <v>564</v>
      </c>
      <c r="AP78" s="64" t="s">
        <v>564</v>
      </c>
      <c r="AQ78" s="64" t="s">
        <v>564</v>
      </c>
      <c r="AR78" s="64" t="s">
        <v>564</v>
      </c>
      <c r="AS78" s="42" t="s">
        <v>3</v>
      </c>
      <c r="AT78" s="42" t="s">
        <v>3</v>
      </c>
      <c r="AU78" s="42" t="s">
        <v>3</v>
      </c>
      <c r="AV78" s="42" t="s">
        <v>3</v>
      </c>
      <c r="AW78" s="53" t="s">
        <v>3</v>
      </c>
      <c r="AX78" s="53" t="s">
        <v>3</v>
      </c>
      <c r="AY78" s="57" t="s">
        <v>3</v>
      </c>
      <c r="AZ78" s="57" t="s">
        <v>3</v>
      </c>
      <c r="BA78" s="121" t="s">
        <v>3</v>
      </c>
      <c r="BB78" s="4" t="s">
        <v>3</v>
      </c>
      <c r="BC78" s="38" t="s">
        <v>137</v>
      </c>
      <c r="BD78" s="3" t="s">
        <v>3</v>
      </c>
    </row>
    <row r="79" spans="1:56" ht="15" customHeight="1" x14ac:dyDescent="0.25">
      <c r="A79" s="38" t="s">
        <v>91</v>
      </c>
      <c r="B79" s="38" t="s">
        <v>138</v>
      </c>
      <c r="C79" s="38" t="s">
        <v>203</v>
      </c>
      <c r="D79" s="48">
        <v>437.14872800000001</v>
      </c>
      <c r="E79" s="92">
        <f t="shared" si="1"/>
        <v>14.583333333333334</v>
      </c>
      <c r="F79" s="12">
        <v>141015</v>
      </c>
      <c r="G79" s="12">
        <v>213591</v>
      </c>
      <c r="H79" s="12" t="s">
        <v>3</v>
      </c>
      <c r="I79" s="11" t="s">
        <v>3</v>
      </c>
      <c r="J79" s="11" t="s">
        <v>3</v>
      </c>
      <c r="K79" s="114" t="s">
        <v>3</v>
      </c>
      <c r="L79" s="5" t="s">
        <v>3</v>
      </c>
      <c r="M79" s="129">
        <v>36552</v>
      </c>
      <c r="N79" s="129">
        <v>30644</v>
      </c>
      <c r="O79" s="5" t="s">
        <v>3</v>
      </c>
      <c r="P79" s="5" t="s">
        <v>3</v>
      </c>
      <c r="Q79" s="129">
        <v>33598</v>
      </c>
      <c r="R79" s="5" t="s">
        <v>3</v>
      </c>
      <c r="S79" s="5" t="s">
        <v>3</v>
      </c>
      <c r="T79" s="5" t="s">
        <v>3</v>
      </c>
      <c r="U79" s="5" t="s">
        <v>3</v>
      </c>
      <c r="V79" s="5" t="s">
        <v>3</v>
      </c>
      <c r="W79" s="13" t="s">
        <v>3</v>
      </c>
      <c r="X79" s="13" t="s">
        <v>3</v>
      </c>
      <c r="Y79" s="13" t="s">
        <v>3</v>
      </c>
      <c r="Z79" s="40" t="s">
        <v>3</v>
      </c>
      <c r="AA79" s="6" t="s">
        <v>3</v>
      </c>
      <c r="AB79" s="6" t="s">
        <v>3</v>
      </c>
      <c r="AC79" s="8" t="s">
        <v>3</v>
      </c>
      <c r="AD79" s="8" t="s">
        <v>3</v>
      </c>
      <c r="AE79" s="3" t="s">
        <v>3</v>
      </c>
      <c r="AF79" s="3" t="s">
        <v>3</v>
      </c>
      <c r="AG79" s="3" t="s">
        <v>3</v>
      </c>
      <c r="AH79" s="3" t="s">
        <v>3</v>
      </c>
      <c r="AI79" s="1" t="s">
        <v>3</v>
      </c>
      <c r="AJ79" s="2">
        <v>74755</v>
      </c>
      <c r="AK79" s="2">
        <v>105140</v>
      </c>
      <c r="AL79" s="2">
        <v>9098</v>
      </c>
      <c r="AM79" s="2" t="s">
        <v>3</v>
      </c>
      <c r="AN79" s="64" t="s">
        <v>3</v>
      </c>
      <c r="AO79" s="64" t="s">
        <v>3</v>
      </c>
      <c r="AP79" s="64" t="s">
        <v>3</v>
      </c>
      <c r="AQ79" s="64" t="s">
        <v>3</v>
      </c>
      <c r="AR79" s="64" t="s">
        <v>3</v>
      </c>
      <c r="AS79" s="42" t="s">
        <v>3</v>
      </c>
      <c r="AT79" s="42">
        <v>2595</v>
      </c>
      <c r="AU79" s="42" t="s">
        <v>3</v>
      </c>
      <c r="AV79" s="42" t="s">
        <v>3</v>
      </c>
      <c r="AW79" s="53" t="s">
        <v>3</v>
      </c>
      <c r="AX79" s="53" t="s">
        <v>3</v>
      </c>
      <c r="AY79" s="57" t="s">
        <v>3</v>
      </c>
      <c r="AZ79" s="57" t="s">
        <v>3</v>
      </c>
      <c r="BA79" s="121" t="s">
        <v>3</v>
      </c>
      <c r="BB79" s="4" t="s">
        <v>3</v>
      </c>
      <c r="BC79" s="38" t="s">
        <v>3</v>
      </c>
      <c r="BD79" s="3" t="s">
        <v>3</v>
      </c>
    </row>
    <row r="80" spans="1:56" ht="15" customHeight="1" x14ac:dyDescent="0.25">
      <c r="A80" s="38" t="s">
        <v>117</v>
      </c>
      <c r="B80" s="38" t="s">
        <v>138</v>
      </c>
      <c r="C80" s="38" t="s">
        <v>204</v>
      </c>
      <c r="D80" s="48">
        <v>384.17402499999997</v>
      </c>
      <c r="E80" s="92">
        <f t="shared" si="1"/>
        <v>29.166666666666668</v>
      </c>
      <c r="F80" s="12" t="s">
        <v>3</v>
      </c>
      <c r="G80" s="12" t="s">
        <v>3</v>
      </c>
      <c r="H80" s="12" t="s">
        <v>3</v>
      </c>
      <c r="I80" s="11" t="s">
        <v>3</v>
      </c>
      <c r="J80" s="11" t="s">
        <v>3</v>
      </c>
      <c r="K80" s="114" t="s">
        <v>3</v>
      </c>
      <c r="L80" s="5" t="s">
        <v>3</v>
      </c>
      <c r="M80" s="129">
        <v>9459</v>
      </c>
      <c r="N80" s="129">
        <v>13486</v>
      </c>
      <c r="O80" s="129">
        <v>47650</v>
      </c>
      <c r="P80" s="129">
        <v>29067</v>
      </c>
      <c r="Q80" s="129">
        <v>8119</v>
      </c>
      <c r="R80" s="129">
        <v>30023</v>
      </c>
      <c r="S80" s="129">
        <v>39711</v>
      </c>
      <c r="T80" s="129">
        <v>32661</v>
      </c>
      <c r="U80" s="129">
        <v>27428</v>
      </c>
      <c r="V80" s="129">
        <v>8152</v>
      </c>
      <c r="W80" s="13" t="s">
        <v>3</v>
      </c>
      <c r="X80" s="13" t="s">
        <v>3</v>
      </c>
      <c r="Y80" s="13" t="s">
        <v>3</v>
      </c>
      <c r="Z80" s="40" t="s">
        <v>3</v>
      </c>
      <c r="AA80" s="6" t="s">
        <v>3</v>
      </c>
      <c r="AB80" s="6" t="s">
        <v>3</v>
      </c>
      <c r="AC80" s="8" t="s">
        <v>3</v>
      </c>
      <c r="AD80" s="8" t="s">
        <v>3</v>
      </c>
      <c r="AE80" s="3">
        <v>4780</v>
      </c>
      <c r="AF80" s="3">
        <v>1160</v>
      </c>
      <c r="AG80" s="3" t="s">
        <v>3</v>
      </c>
      <c r="AH80" s="3" t="s">
        <v>3</v>
      </c>
      <c r="AI80" s="1" t="s">
        <v>3</v>
      </c>
      <c r="AJ80" s="2">
        <v>6409</v>
      </c>
      <c r="AK80" s="1" t="s">
        <v>3</v>
      </c>
      <c r="AL80" s="2">
        <v>123084</v>
      </c>
      <c r="AM80" s="2" t="s">
        <v>3</v>
      </c>
      <c r="AN80" s="64" t="s">
        <v>3</v>
      </c>
      <c r="AO80" s="64" t="s">
        <v>3</v>
      </c>
      <c r="AP80" s="64" t="s">
        <v>3</v>
      </c>
      <c r="AQ80" s="64" t="s">
        <v>3</v>
      </c>
      <c r="AR80" s="64" t="s">
        <v>3</v>
      </c>
      <c r="AS80" s="42" t="s">
        <v>3</v>
      </c>
      <c r="AT80" s="42" t="s">
        <v>3</v>
      </c>
      <c r="AU80" s="42" t="s">
        <v>3</v>
      </c>
      <c r="AV80" s="42" t="s">
        <v>3</v>
      </c>
      <c r="AW80" s="53" t="s">
        <v>3</v>
      </c>
      <c r="AX80" s="53" t="s">
        <v>3</v>
      </c>
      <c r="AY80" s="57" t="s">
        <v>3</v>
      </c>
      <c r="AZ80" s="57" t="s">
        <v>3</v>
      </c>
      <c r="BA80" s="121" t="s">
        <v>3</v>
      </c>
      <c r="BB80" s="4" t="s">
        <v>3</v>
      </c>
      <c r="BC80" s="38" t="s">
        <v>137</v>
      </c>
      <c r="BD80" s="3" t="s">
        <v>3</v>
      </c>
    </row>
    <row r="81" spans="1:56" ht="15" customHeight="1" x14ac:dyDescent="0.25">
      <c r="A81" s="38" t="s">
        <v>92</v>
      </c>
      <c r="B81" s="38" t="s">
        <v>138</v>
      </c>
      <c r="C81" s="38" t="s">
        <v>205</v>
      </c>
      <c r="D81" s="48">
        <v>296.12159500000001</v>
      </c>
      <c r="E81" s="92">
        <f t="shared" si="1"/>
        <v>33.333333333333329</v>
      </c>
      <c r="F81" s="12" t="s">
        <v>3</v>
      </c>
      <c r="G81" s="12" t="s">
        <v>3</v>
      </c>
      <c r="H81" s="12" t="s">
        <v>3</v>
      </c>
      <c r="I81" s="11" t="s">
        <v>3</v>
      </c>
      <c r="J81" s="11" t="s">
        <v>3</v>
      </c>
      <c r="K81" s="128">
        <v>39754</v>
      </c>
      <c r="L81" s="5" t="s">
        <v>3</v>
      </c>
      <c r="M81" s="129">
        <v>57812</v>
      </c>
      <c r="N81" s="129">
        <v>69297</v>
      </c>
      <c r="O81" s="129">
        <v>56614</v>
      </c>
      <c r="P81" s="129">
        <v>52191</v>
      </c>
      <c r="Q81" s="129">
        <v>135984</v>
      </c>
      <c r="R81" s="129">
        <v>74726</v>
      </c>
      <c r="S81" s="129">
        <v>105963</v>
      </c>
      <c r="T81" s="129">
        <v>14848</v>
      </c>
      <c r="U81" s="129">
        <v>20192</v>
      </c>
      <c r="V81" s="129">
        <v>55593</v>
      </c>
      <c r="W81" s="13" t="s">
        <v>3</v>
      </c>
      <c r="X81" s="13" t="s">
        <v>3</v>
      </c>
      <c r="Y81" s="13" t="s">
        <v>3</v>
      </c>
      <c r="Z81" s="40" t="s">
        <v>3</v>
      </c>
      <c r="AA81" s="6" t="s">
        <v>3</v>
      </c>
      <c r="AB81" s="6" t="s">
        <v>3</v>
      </c>
      <c r="AC81" s="8" t="s">
        <v>3</v>
      </c>
      <c r="AD81" s="8" t="s">
        <v>3</v>
      </c>
      <c r="AE81" s="3">
        <v>840</v>
      </c>
      <c r="AF81" s="3">
        <v>2452</v>
      </c>
      <c r="AG81" s="3">
        <v>3468</v>
      </c>
      <c r="AH81" s="3" t="s">
        <v>3</v>
      </c>
      <c r="AI81" s="1" t="s">
        <v>3</v>
      </c>
      <c r="AJ81" s="2">
        <v>4770</v>
      </c>
      <c r="AK81" s="1" t="s">
        <v>3</v>
      </c>
      <c r="AL81" s="2">
        <v>141776</v>
      </c>
      <c r="AM81" s="2" t="s">
        <v>3</v>
      </c>
      <c r="AN81" s="64" t="s">
        <v>3</v>
      </c>
      <c r="AO81" s="64" t="s">
        <v>3</v>
      </c>
      <c r="AP81" s="64" t="s">
        <v>3</v>
      </c>
      <c r="AQ81" s="64" t="s">
        <v>3</v>
      </c>
      <c r="AR81" s="64" t="s">
        <v>3</v>
      </c>
      <c r="AS81" s="42" t="s">
        <v>3</v>
      </c>
      <c r="AT81" s="42" t="s">
        <v>3</v>
      </c>
      <c r="AU81" s="42" t="s">
        <v>3</v>
      </c>
      <c r="AV81" s="42" t="s">
        <v>3</v>
      </c>
      <c r="AW81" s="53" t="s">
        <v>3</v>
      </c>
      <c r="AX81" s="53" t="s">
        <v>3</v>
      </c>
      <c r="AY81" s="57">
        <v>103428</v>
      </c>
      <c r="AZ81" s="57" t="s">
        <v>3</v>
      </c>
      <c r="BA81" s="121" t="s">
        <v>3</v>
      </c>
      <c r="BB81" s="4" t="s">
        <v>3</v>
      </c>
      <c r="BC81" s="38" t="s">
        <v>3</v>
      </c>
      <c r="BD81" s="3" t="s">
        <v>3</v>
      </c>
    </row>
    <row r="82" spans="1:56" ht="15" customHeight="1" x14ac:dyDescent="0.25">
      <c r="A82" s="38" t="s">
        <v>93</v>
      </c>
      <c r="B82" s="38" t="s">
        <v>138</v>
      </c>
      <c r="C82" s="38" t="s">
        <v>206</v>
      </c>
      <c r="D82" s="48">
        <v>408.12535600000001</v>
      </c>
      <c r="E82" s="92">
        <f t="shared" si="1"/>
        <v>52.083333333333336</v>
      </c>
      <c r="F82" s="12">
        <v>126182</v>
      </c>
      <c r="G82" s="12">
        <v>198537</v>
      </c>
      <c r="H82" s="12" t="s">
        <v>3</v>
      </c>
      <c r="I82" s="11" t="s">
        <v>3</v>
      </c>
      <c r="J82" s="11" t="s">
        <v>3</v>
      </c>
      <c r="K82" s="115">
        <v>175939</v>
      </c>
      <c r="L82" s="5" t="s">
        <v>3</v>
      </c>
      <c r="M82" s="5">
        <v>191063</v>
      </c>
      <c r="N82" s="5">
        <v>172988</v>
      </c>
      <c r="O82" s="5">
        <v>160982</v>
      </c>
      <c r="P82" s="5">
        <v>130862</v>
      </c>
      <c r="Q82" s="5">
        <v>223490</v>
      </c>
      <c r="R82" s="5">
        <v>150262</v>
      </c>
      <c r="S82" s="5">
        <v>437901</v>
      </c>
      <c r="T82" s="5">
        <v>150560</v>
      </c>
      <c r="U82" s="5">
        <v>98259</v>
      </c>
      <c r="V82" s="5">
        <v>153599</v>
      </c>
      <c r="W82" s="13">
        <v>2774402</v>
      </c>
      <c r="X82" s="13">
        <v>2726925</v>
      </c>
      <c r="Y82" s="13" t="s">
        <v>3</v>
      </c>
      <c r="Z82" s="40" t="s">
        <v>3</v>
      </c>
      <c r="AA82" s="6">
        <v>4600440</v>
      </c>
      <c r="AB82" s="6" t="s">
        <v>3</v>
      </c>
      <c r="AC82" s="8" t="s">
        <v>3</v>
      </c>
      <c r="AD82" s="8" t="s">
        <v>3</v>
      </c>
      <c r="AE82" s="3">
        <v>3876</v>
      </c>
      <c r="AF82" s="3">
        <v>6320</v>
      </c>
      <c r="AG82" s="3" t="s">
        <v>3</v>
      </c>
      <c r="AH82" s="3" t="s">
        <v>3</v>
      </c>
      <c r="AI82" s="1">
        <v>80349</v>
      </c>
      <c r="AJ82" s="2">
        <v>69607</v>
      </c>
      <c r="AK82" s="2">
        <v>455434</v>
      </c>
      <c r="AL82" s="2">
        <v>501836</v>
      </c>
      <c r="AM82" s="2" t="s">
        <v>3</v>
      </c>
      <c r="AN82" s="64" t="s">
        <v>3</v>
      </c>
      <c r="AO82" s="64" t="s">
        <v>3</v>
      </c>
      <c r="AP82" s="64" t="s">
        <v>3</v>
      </c>
      <c r="AQ82" s="64" t="s">
        <v>3</v>
      </c>
      <c r="AR82" s="64" t="s">
        <v>3</v>
      </c>
      <c r="AS82" s="42" t="s">
        <v>3</v>
      </c>
      <c r="AT82" s="42">
        <v>4632</v>
      </c>
      <c r="AU82" s="42" t="s">
        <v>3</v>
      </c>
      <c r="AV82" s="42">
        <v>4910</v>
      </c>
      <c r="AW82" s="53" t="s">
        <v>3</v>
      </c>
      <c r="AX82" s="53">
        <v>4370</v>
      </c>
      <c r="AY82" s="57">
        <v>56050</v>
      </c>
      <c r="AZ82" s="57">
        <v>299257</v>
      </c>
      <c r="BA82" s="121">
        <v>756891</v>
      </c>
      <c r="BB82" s="4" t="s">
        <v>3</v>
      </c>
      <c r="BC82" s="38" t="s">
        <v>131</v>
      </c>
      <c r="BD82" s="3" t="s">
        <v>3</v>
      </c>
    </row>
    <row r="83" spans="1:56" ht="15" customHeight="1" x14ac:dyDescent="0.25">
      <c r="A83" s="38" t="s">
        <v>94</v>
      </c>
      <c r="B83" s="38" t="s">
        <v>138</v>
      </c>
      <c r="C83" s="38" t="s">
        <v>207</v>
      </c>
      <c r="D83" s="48">
        <v>304.201954</v>
      </c>
      <c r="E83" s="92">
        <f t="shared" si="1"/>
        <v>41.666666666666671</v>
      </c>
      <c r="F83" s="12" t="s">
        <v>3</v>
      </c>
      <c r="G83" s="12" t="s">
        <v>3</v>
      </c>
      <c r="H83" s="12" t="s">
        <v>3</v>
      </c>
      <c r="I83" s="11" t="s">
        <v>3</v>
      </c>
      <c r="J83" s="11" t="s">
        <v>3</v>
      </c>
      <c r="K83" s="114" t="s">
        <v>3</v>
      </c>
      <c r="L83" s="5" t="s">
        <v>3</v>
      </c>
      <c r="M83" s="5" t="s">
        <v>3</v>
      </c>
      <c r="N83" s="5">
        <v>20448</v>
      </c>
      <c r="O83" s="5">
        <v>19961</v>
      </c>
      <c r="P83" s="5">
        <v>10889</v>
      </c>
      <c r="Q83" s="5">
        <v>22238</v>
      </c>
      <c r="R83" s="5">
        <v>11240</v>
      </c>
      <c r="S83" s="5">
        <v>12001</v>
      </c>
      <c r="T83" s="5">
        <v>5747</v>
      </c>
      <c r="U83" s="5">
        <v>20321</v>
      </c>
      <c r="V83" s="5">
        <v>11581</v>
      </c>
      <c r="W83" s="13">
        <v>280315</v>
      </c>
      <c r="X83" s="13">
        <v>1377674</v>
      </c>
      <c r="Y83" s="13" t="s">
        <v>3</v>
      </c>
      <c r="Z83" s="40">
        <v>666792</v>
      </c>
      <c r="AA83" s="6">
        <v>1509225</v>
      </c>
      <c r="AB83" s="6"/>
      <c r="AC83" s="8" t="s">
        <v>3</v>
      </c>
      <c r="AD83" s="8" t="s">
        <v>3</v>
      </c>
      <c r="AE83" s="3">
        <v>8212</v>
      </c>
      <c r="AF83" s="3">
        <v>36716</v>
      </c>
      <c r="AG83" s="3" t="s">
        <v>3</v>
      </c>
      <c r="AH83" s="3" t="s">
        <v>3</v>
      </c>
      <c r="AI83" s="1">
        <v>259527</v>
      </c>
      <c r="AJ83" s="2">
        <v>122159</v>
      </c>
      <c r="AK83" s="2">
        <v>233314</v>
      </c>
      <c r="AL83" s="2">
        <v>241509</v>
      </c>
      <c r="AM83" s="2" t="s">
        <v>3</v>
      </c>
      <c r="AN83" s="64" t="s">
        <v>3</v>
      </c>
      <c r="AO83" s="64" t="s">
        <v>3</v>
      </c>
      <c r="AP83" s="64" t="s">
        <v>3</v>
      </c>
      <c r="AQ83" s="64" t="s">
        <v>3</v>
      </c>
      <c r="AR83" s="64" t="s">
        <v>3</v>
      </c>
      <c r="AS83" s="42" t="s">
        <v>3</v>
      </c>
      <c r="AT83" s="42" t="s">
        <v>3</v>
      </c>
      <c r="AU83" s="42" t="s">
        <v>3</v>
      </c>
      <c r="AV83" s="42" t="s">
        <v>3</v>
      </c>
      <c r="AW83" s="53" t="s">
        <v>3</v>
      </c>
      <c r="AX83" s="53" t="s">
        <v>3</v>
      </c>
      <c r="AY83" s="57" t="s">
        <v>3</v>
      </c>
      <c r="AZ83" s="57" t="s">
        <v>3</v>
      </c>
      <c r="BA83" s="121">
        <v>313891</v>
      </c>
      <c r="BB83" s="4" t="s">
        <v>3</v>
      </c>
      <c r="BC83" s="38" t="s">
        <v>3</v>
      </c>
      <c r="BD83" s="3">
        <v>5892</v>
      </c>
    </row>
    <row r="84" spans="1:56" ht="15" customHeight="1" x14ac:dyDescent="0.25">
      <c r="A84" s="38" t="s">
        <v>54</v>
      </c>
      <c r="B84" s="38" t="s">
        <v>138</v>
      </c>
      <c r="C84" s="38" t="s">
        <v>208</v>
      </c>
      <c r="D84" s="48">
        <v>346.12198899999999</v>
      </c>
      <c r="E84" s="92">
        <f t="shared" si="1"/>
        <v>25</v>
      </c>
      <c r="F84" s="12" t="s">
        <v>3</v>
      </c>
      <c r="G84" s="12" t="s">
        <v>3</v>
      </c>
      <c r="H84" s="12" t="s">
        <v>3</v>
      </c>
      <c r="I84" s="11" t="s">
        <v>3</v>
      </c>
      <c r="J84" s="11" t="s">
        <v>3</v>
      </c>
      <c r="K84" s="114" t="s">
        <v>3</v>
      </c>
      <c r="L84" s="5" t="s">
        <v>3</v>
      </c>
      <c r="M84" s="5" t="s">
        <v>3</v>
      </c>
      <c r="N84" s="129">
        <v>3978</v>
      </c>
      <c r="O84" s="129">
        <v>12161</v>
      </c>
      <c r="P84" s="5" t="s">
        <v>3</v>
      </c>
      <c r="Q84" s="5" t="s">
        <v>3</v>
      </c>
      <c r="R84" s="5" t="s">
        <v>3</v>
      </c>
      <c r="S84" s="129">
        <v>49945</v>
      </c>
      <c r="T84" s="129">
        <v>29426</v>
      </c>
      <c r="U84" s="129">
        <v>13031</v>
      </c>
      <c r="V84" s="5" t="s">
        <v>3</v>
      </c>
      <c r="W84" s="13" t="s">
        <v>3</v>
      </c>
      <c r="X84" s="13" t="s">
        <v>3</v>
      </c>
      <c r="Y84" s="13" t="s">
        <v>3</v>
      </c>
      <c r="Z84" s="40" t="s">
        <v>3</v>
      </c>
      <c r="AA84" s="6" t="s">
        <v>3</v>
      </c>
      <c r="AB84" s="6" t="s">
        <v>3</v>
      </c>
      <c r="AC84" s="8" t="s">
        <v>3</v>
      </c>
      <c r="AD84" s="8" t="s">
        <v>3</v>
      </c>
      <c r="AE84" s="3">
        <v>2032</v>
      </c>
      <c r="AF84" s="3">
        <v>1668</v>
      </c>
      <c r="AG84" s="3">
        <v>1852</v>
      </c>
      <c r="AH84" s="3" t="s">
        <v>3</v>
      </c>
      <c r="AI84" s="1" t="s">
        <v>3</v>
      </c>
      <c r="AJ84" s="2">
        <v>21383</v>
      </c>
      <c r="AK84" s="2">
        <v>61508</v>
      </c>
      <c r="AL84" s="2">
        <v>3692</v>
      </c>
      <c r="AM84" s="2" t="s">
        <v>3</v>
      </c>
      <c r="AN84" s="64" t="s">
        <v>3</v>
      </c>
      <c r="AO84" s="64" t="s">
        <v>3</v>
      </c>
      <c r="AP84" s="64" t="s">
        <v>3</v>
      </c>
      <c r="AQ84" s="64" t="s">
        <v>3</v>
      </c>
      <c r="AR84" s="64" t="s">
        <v>3</v>
      </c>
      <c r="AS84" s="42" t="s">
        <v>3</v>
      </c>
      <c r="AT84" s="42" t="s">
        <v>3</v>
      </c>
      <c r="AU84" s="42" t="s">
        <v>3</v>
      </c>
      <c r="AV84" s="42" t="s">
        <v>3</v>
      </c>
      <c r="AW84" s="53" t="s">
        <v>3</v>
      </c>
      <c r="AX84" s="53" t="s">
        <v>3</v>
      </c>
      <c r="AY84" s="57" t="s">
        <v>3</v>
      </c>
      <c r="AZ84" s="57" t="s">
        <v>3</v>
      </c>
      <c r="BA84" s="121">
        <v>98019</v>
      </c>
      <c r="BB84" s="4" t="s">
        <v>3</v>
      </c>
      <c r="BC84" s="38" t="s">
        <v>137</v>
      </c>
      <c r="BD84" s="3" t="s">
        <v>3</v>
      </c>
    </row>
    <row r="85" spans="1:56" ht="15" customHeight="1" x14ac:dyDescent="0.25">
      <c r="A85" s="38" t="s">
        <v>54</v>
      </c>
      <c r="B85" s="38" t="s">
        <v>139</v>
      </c>
      <c r="C85" s="38" t="s">
        <v>208</v>
      </c>
      <c r="D85" s="48">
        <v>344.10743600000001</v>
      </c>
      <c r="E85" s="92">
        <f t="shared" si="1"/>
        <v>0</v>
      </c>
      <c r="F85" s="12" t="s">
        <v>564</v>
      </c>
      <c r="G85" s="12" t="s">
        <v>564</v>
      </c>
      <c r="H85" s="12" t="s">
        <v>564</v>
      </c>
      <c r="I85" s="11" t="s">
        <v>3</v>
      </c>
      <c r="J85" s="11" t="s">
        <v>3</v>
      </c>
      <c r="K85" s="114" t="s">
        <v>3</v>
      </c>
      <c r="L85" s="5" t="s">
        <v>3</v>
      </c>
      <c r="M85" s="5" t="s">
        <v>3</v>
      </c>
      <c r="N85" s="5" t="s">
        <v>3</v>
      </c>
      <c r="O85" s="5" t="s">
        <v>3</v>
      </c>
      <c r="P85" s="5" t="s">
        <v>3</v>
      </c>
      <c r="Q85" s="5" t="s">
        <v>3</v>
      </c>
      <c r="R85" s="5" t="s">
        <v>3</v>
      </c>
      <c r="S85" s="5" t="s">
        <v>3</v>
      </c>
      <c r="T85" s="5" t="s">
        <v>3</v>
      </c>
      <c r="U85" s="5" t="s">
        <v>3</v>
      </c>
      <c r="V85" s="5" t="s">
        <v>3</v>
      </c>
      <c r="W85" s="14" t="s">
        <v>564</v>
      </c>
      <c r="X85" s="14" t="s">
        <v>564</v>
      </c>
      <c r="Y85" s="14" t="s">
        <v>564</v>
      </c>
      <c r="Z85" s="40" t="s">
        <v>3</v>
      </c>
      <c r="AA85" s="6" t="s">
        <v>3</v>
      </c>
      <c r="AB85" s="6" t="s">
        <v>3</v>
      </c>
      <c r="AC85" s="8" t="s">
        <v>3</v>
      </c>
      <c r="AD85" s="8" t="s">
        <v>3</v>
      </c>
      <c r="AE85" s="3" t="s">
        <v>3</v>
      </c>
      <c r="AF85" s="3" t="s">
        <v>3</v>
      </c>
      <c r="AG85" s="3" t="s">
        <v>3</v>
      </c>
      <c r="AH85" s="3" t="s">
        <v>3</v>
      </c>
      <c r="AI85" s="1" t="s">
        <v>3</v>
      </c>
      <c r="AJ85" s="1" t="s">
        <v>564</v>
      </c>
      <c r="AK85" s="1" t="s">
        <v>137</v>
      </c>
      <c r="AL85" s="1" t="s">
        <v>3</v>
      </c>
      <c r="AM85" s="1" t="s">
        <v>564</v>
      </c>
      <c r="AN85" s="64" t="s">
        <v>564</v>
      </c>
      <c r="AO85" s="64" t="s">
        <v>564</v>
      </c>
      <c r="AP85" s="64" t="s">
        <v>564</v>
      </c>
      <c r="AQ85" s="64" t="s">
        <v>564</v>
      </c>
      <c r="AR85" s="64" t="s">
        <v>564</v>
      </c>
      <c r="AS85" s="42" t="s">
        <v>3</v>
      </c>
      <c r="AT85" s="42" t="s">
        <v>3</v>
      </c>
      <c r="AU85" s="42" t="s">
        <v>3</v>
      </c>
      <c r="AV85" s="42" t="s">
        <v>3</v>
      </c>
      <c r="AW85" s="53" t="s">
        <v>3</v>
      </c>
      <c r="AX85" s="53" t="s">
        <v>3</v>
      </c>
      <c r="AY85" s="57" t="s">
        <v>3</v>
      </c>
      <c r="AZ85" s="57" t="s">
        <v>3</v>
      </c>
      <c r="BA85" s="121" t="s">
        <v>3</v>
      </c>
      <c r="BB85" s="4" t="s">
        <v>3</v>
      </c>
      <c r="BC85" s="38" t="s">
        <v>137</v>
      </c>
      <c r="BD85" s="3" t="s">
        <v>3</v>
      </c>
    </row>
    <row r="86" spans="1:56" ht="15" customHeight="1" x14ac:dyDescent="0.25">
      <c r="A86" s="38" t="s">
        <v>95</v>
      </c>
      <c r="B86" s="38" t="s">
        <v>138</v>
      </c>
      <c r="C86" s="38" t="s">
        <v>209</v>
      </c>
      <c r="D86" s="48">
        <v>316.111424</v>
      </c>
      <c r="E86" s="92">
        <f t="shared" si="1"/>
        <v>43.75</v>
      </c>
      <c r="F86" s="12">
        <v>73176</v>
      </c>
      <c r="G86" s="12">
        <v>103441</v>
      </c>
      <c r="H86" s="12" t="s">
        <v>3</v>
      </c>
      <c r="I86" s="11" t="s">
        <v>3</v>
      </c>
      <c r="J86" s="11" t="s">
        <v>3</v>
      </c>
      <c r="K86" s="114" t="s">
        <v>3</v>
      </c>
      <c r="L86" s="5" t="s">
        <v>3</v>
      </c>
      <c r="M86" s="5">
        <v>134749</v>
      </c>
      <c r="N86" s="5">
        <v>183924</v>
      </c>
      <c r="O86" s="5">
        <v>123775</v>
      </c>
      <c r="P86" s="5">
        <v>58702</v>
      </c>
      <c r="Q86" s="5">
        <v>177807</v>
      </c>
      <c r="R86" s="5">
        <v>44727</v>
      </c>
      <c r="S86" s="5">
        <v>205745</v>
      </c>
      <c r="T86" s="5">
        <v>58392</v>
      </c>
      <c r="U86" s="5">
        <v>30358</v>
      </c>
      <c r="V86" s="5">
        <v>95085</v>
      </c>
      <c r="W86" s="13">
        <v>11706822</v>
      </c>
      <c r="X86" s="13">
        <v>11685084</v>
      </c>
      <c r="Y86" s="13" t="s">
        <v>3</v>
      </c>
      <c r="Z86" s="40">
        <v>40113656</v>
      </c>
      <c r="AA86" s="6">
        <v>341299</v>
      </c>
      <c r="AB86" s="6" t="s">
        <v>3</v>
      </c>
      <c r="AC86" s="8">
        <v>1549427</v>
      </c>
      <c r="AD86" s="8" t="s">
        <v>3</v>
      </c>
      <c r="AE86" s="3" t="s">
        <v>3</v>
      </c>
      <c r="AF86" s="3" t="s">
        <v>3</v>
      </c>
      <c r="AG86" s="3" t="s">
        <v>3</v>
      </c>
      <c r="AH86" s="3" t="s">
        <v>3</v>
      </c>
      <c r="AI86" s="1">
        <v>63107</v>
      </c>
      <c r="AJ86" s="2">
        <v>110522</v>
      </c>
      <c r="AK86" s="2">
        <v>123250</v>
      </c>
      <c r="AL86" s="2">
        <v>93595</v>
      </c>
      <c r="AM86" s="2" t="s">
        <v>3</v>
      </c>
      <c r="AN86" s="64" t="s">
        <v>3</v>
      </c>
      <c r="AO86" s="64" t="s">
        <v>3</v>
      </c>
      <c r="AP86" s="64" t="s">
        <v>3</v>
      </c>
      <c r="AQ86" s="64" t="s">
        <v>3</v>
      </c>
      <c r="AR86" s="64" t="s">
        <v>3</v>
      </c>
      <c r="AS86" s="42" t="s">
        <v>3</v>
      </c>
      <c r="AT86" s="42" t="s">
        <v>3</v>
      </c>
      <c r="AU86" s="42" t="s">
        <v>3</v>
      </c>
      <c r="AV86" s="42" t="s">
        <v>3</v>
      </c>
      <c r="AW86" s="53" t="s">
        <v>3</v>
      </c>
      <c r="AX86" s="53" t="s">
        <v>3</v>
      </c>
      <c r="AY86" s="57" t="s">
        <v>3</v>
      </c>
      <c r="AZ86" s="57">
        <v>124132</v>
      </c>
      <c r="BA86" s="121">
        <v>496100</v>
      </c>
      <c r="BB86" s="4" t="s">
        <v>3</v>
      </c>
      <c r="BC86" s="38" t="s">
        <v>3</v>
      </c>
      <c r="BD86" s="3" t="s">
        <v>3</v>
      </c>
    </row>
    <row r="87" spans="1:56" ht="15" customHeight="1" x14ac:dyDescent="0.25">
      <c r="A87" s="38" t="s">
        <v>55</v>
      </c>
      <c r="B87" s="38" t="s">
        <v>138</v>
      </c>
      <c r="C87" s="38" t="s">
        <v>210</v>
      </c>
      <c r="D87" s="48">
        <v>436.23431599999998</v>
      </c>
      <c r="E87" s="92">
        <f t="shared" si="1"/>
        <v>56.25</v>
      </c>
      <c r="F87" s="12">
        <v>345442</v>
      </c>
      <c r="G87" s="12">
        <v>586813</v>
      </c>
      <c r="H87" s="12">
        <v>5003</v>
      </c>
      <c r="I87" s="11" t="s">
        <v>3</v>
      </c>
      <c r="J87" s="11" t="s">
        <v>3</v>
      </c>
      <c r="K87" s="115">
        <v>215599</v>
      </c>
      <c r="L87" s="5" t="s">
        <v>3</v>
      </c>
      <c r="M87" s="5">
        <v>12420</v>
      </c>
      <c r="N87" s="5">
        <v>14564</v>
      </c>
      <c r="O87" s="5">
        <v>632767</v>
      </c>
      <c r="P87" s="5">
        <v>195885</v>
      </c>
      <c r="Q87" s="5">
        <v>662358</v>
      </c>
      <c r="R87" s="5">
        <v>262242</v>
      </c>
      <c r="S87" s="5">
        <v>644708</v>
      </c>
      <c r="T87" s="5">
        <v>232117</v>
      </c>
      <c r="U87" s="5">
        <v>546322</v>
      </c>
      <c r="V87" s="5">
        <v>24742</v>
      </c>
      <c r="W87" s="13" t="s">
        <v>3</v>
      </c>
      <c r="X87" s="13">
        <v>3298809</v>
      </c>
      <c r="Y87" s="13" t="s">
        <v>3</v>
      </c>
      <c r="Z87" s="40">
        <v>21935250</v>
      </c>
      <c r="AA87" s="6">
        <v>14221103</v>
      </c>
      <c r="AB87" s="6">
        <v>95674</v>
      </c>
      <c r="AC87" s="8">
        <v>874385</v>
      </c>
      <c r="AD87" s="8" t="s">
        <v>3</v>
      </c>
      <c r="AE87" s="3">
        <v>28652</v>
      </c>
      <c r="AF87" s="3">
        <v>6860</v>
      </c>
      <c r="AG87" s="3" t="s">
        <v>3</v>
      </c>
      <c r="AH87" s="3" t="s">
        <v>3</v>
      </c>
      <c r="AI87" s="1" t="s">
        <v>3</v>
      </c>
      <c r="AJ87" s="2">
        <v>291305</v>
      </c>
      <c r="AK87" s="2">
        <v>177613</v>
      </c>
      <c r="AL87" s="2">
        <v>54967</v>
      </c>
      <c r="AM87" s="2" t="s">
        <v>3</v>
      </c>
      <c r="AN87" s="67">
        <v>9588</v>
      </c>
      <c r="AO87" s="68" t="s">
        <v>3</v>
      </c>
      <c r="AP87" s="68" t="s">
        <v>3</v>
      </c>
      <c r="AQ87" s="67" t="s">
        <v>3</v>
      </c>
      <c r="AR87" s="67">
        <v>3674</v>
      </c>
      <c r="AS87" s="42" t="s">
        <v>3</v>
      </c>
      <c r="AT87" s="42">
        <v>19114</v>
      </c>
      <c r="AU87" s="42" t="s">
        <v>3</v>
      </c>
      <c r="AV87" s="42" t="s">
        <v>3</v>
      </c>
      <c r="AW87" s="53">
        <v>26716</v>
      </c>
      <c r="AX87" s="53" t="s">
        <v>3</v>
      </c>
      <c r="AY87" s="57">
        <v>271110</v>
      </c>
      <c r="AZ87" s="57">
        <v>212040</v>
      </c>
      <c r="BA87" s="121">
        <v>472323</v>
      </c>
      <c r="BB87" s="4" t="s">
        <v>3</v>
      </c>
      <c r="BC87" s="38" t="s">
        <v>137</v>
      </c>
      <c r="BD87" s="3" t="s">
        <v>3</v>
      </c>
    </row>
    <row r="88" spans="1:56" ht="15" customHeight="1" x14ac:dyDescent="0.25">
      <c r="A88" s="38" t="s">
        <v>55</v>
      </c>
      <c r="B88" s="38" t="s">
        <v>139</v>
      </c>
      <c r="C88" s="38" t="s">
        <v>210</v>
      </c>
      <c r="D88" s="48">
        <v>434.219763</v>
      </c>
      <c r="E88" s="92">
        <f t="shared" si="1"/>
        <v>35.416666666666671</v>
      </c>
      <c r="F88" s="12" t="s">
        <v>564</v>
      </c>
      <c r="G88" s="12" t="s">
        <v>564</v>
      </c>
      <c r="H88" s="12" t="s">
        <v>564</v>
      </c>
      <c r="I88" s="11" t="s">
        <v>3</v>
      </c>
      <c r="J88" s="11" t="s">
        <v>3</v>
      </c>
      <c r="K88" s="115">
        <v>388176</v>
      </c>
      <c r="L88" s="5" t="s">
        <v>3</v>
      </c>
      <c r="M88" s="5">
        <v>14003</v>
      </c>
      <c r="N88" s="5">
        <v>15733</v>
      </c>
      <c r="O88" s="5">
        <v>550774</v>
      </c>
      <c r="P88" s="5">
        <v>252123</v>
      </c>
      <c r="Q88" s="5">
        <v>707997</v>
      </c>
      <c r="R88" s="5">
        <v>391268</v>
      </c>
      <c r="S88" s="5">
        <v>662495</v>
      </c>
      <c r="T88" s="5">
        <v>98473</v>
      </c>
      <c r="U88" s="5">
        <v>382878</v>
      </c>
      <c r="V88" s="5">
        <v>314418</v>
      </c>
      <c r="W88" s="14" t="s">
        <v>564</v>
      </c>
      <c r="X88" s="14" t="s">
        <v>564</v>
      </c>
      <c r="Y88" s="14" t="s">
        <v>564</v>
      </c>
      <c r="Z88" s="40">
        <v>7480915</v>
      </c>
      <c r="AA88" s="6" t="s">
        <v>3</v>
      </c>
      <c r="AB88" s="6" t="s">
        <v>3</v>
      </c>
      <c r="AC88" s="8">
        <v>282904</v>
      </c>
      <c r="AD88" s="8" t="s">
        <v>3</v>
      </c>
      <c r="AE88" s="3" t="s">
        <v>3</v>
      </c>
      <c r="AF88" s="3" t="s">
        <v>3</v>
      </c>
      <c r="AG88" s="3" t="s">
        <v>3</v>
      </c>
      <c r="AH88" s="3" t="s">
        <v>3</v>
      </c>
      <c r="AI88" s="1">
        <v>8763</v>
      </c>
      <c r="AJ88" s="1" t="s">
        <v>564</v>
      </c>
      <c r="AK88" s="2">
        <v>613652</v>
      </c>
      <c r="AL88" s="2">
        <v>87394</v>
      </c>
      <c r="AM88" s="1" t="s">
        <v>564</v>
      </c>
      <c r="AN88" s="64" t="s">
        <v>564</v>
      </c>
      <c r="AO88" s="64" t="s">
        <v>564</v>
      </c>
      <c r="AP88" s="64" t="s">
        <v>564</v>
      </c>
      <c r="AQ88" s="64" t="s">
        <v>564</v>
      </c>
      <c r="AR88" s="64" t="s">
        <v>564</v>
      </c>
      <c r="AS88" s="42" t="s">
        <v>3</v>
      </c>
      <c r="AT88" s="42">
        <v>14422</v>
      </c>
      <c r="AU88" s="42" t="s">
        <v>3</v>
      </c>
      <c r="AV88" s="42" t="s">
        <v>3</v>
      </c>
      <c r="AW88" s="53" t="s">
        <v>3</v>
      </c>
      <c r="AX88" s="53" t="s">
        <v>3</v>
      </c>
      <c r="AY88" s="57" t="s">
        <v>3</v>
      </c>
      <c r="AZ88" s="57" t="s">
        <v>3</v>
      </c>
      <c r="BA88" s="121">
        <v>85218</v>
      </c>
      <c r="BB88" s="4" t="s">
        <v>3</v>
      </c>
      <c r="BC88" s="38" t="s">
        <v>137</v>
      </c>
      <c r="BD88" s="3">
        <v>2984</v>
      </c>
    </row>
    <row r="89" spans="1:56" ht="15" customHeight="1" x14ac:dyDescent="0.25">
      <c r="A89" s="38" t="s">
        <v>96</v>
      </c>
      <c r="B89" s="38" t="s">
        <v>138</v>
      </c>
      <c r="C89" s="38" t="s">
        <v>211</v>
      </c>
      <c r="D89" s="48">
        <v>267.08765199999999</v>
      </c>
      <c r="E89" s="92">
        <f t="shared" si="1"/>
        <v>50</v>
      </c>
      <c r="F89" s="12">
        <v>276371</v>
      </c>
      <c r="G89" s="12">
        <v>300093</v>
      </c>
      <c r="H89" s="12" t="s">
        <v>3</v>
      </c>
      <c r="I89" s="11" t="s">
        <v>3</v>
      </c>
      <c r="J89" s="11" t="s">
        <v>3</v>
      </c>
      <c r="K89" s="114" t="s">
        <v>3</v>
      </c>
      <c r="L89" s="5" t="s">
        <v>3</v>
      </c>
      <c r="M89" s="5">
        <v>357181</v>
      </c>
      <c r="N89" s="5">
        <v>793529</v>
      </c>
      <c r="O89" s="5">
        <v>69541</v>
      </c>
      <c r="P89" s="5">
        <v>55120</v>
      </c>
      <c r="Q89" s="5">
        <v>510926</v>
      </c>
      <c r="R89" s="5">
        <v>82742</v>
      </c>
      <c r="S89" s="5">
        <v>63673</v>
      </c>
      <c r="T89" s="5">
        <v>35401</v>
      </c>
      <c r="U89" s="5">
        <v>30385</v>
      </c>
      <c r="V89" s="5">
        <v>477451</v>
      </c>
      <c r="W89" s="13" t="s">
        <v>3</v>
      </c>
      <c r="X89" s="13" t="s">
        <v>3</v>
      </c>
      <c r="Y89" s="13" t="s">
        <v>3</v>
      </c>
      <c r="Z89" s="40">
        <v>15347248</v>
      </c>
      <c r="AA89" s="6">
        <v>27274030</v>
      </c>
      <c r="AB89" s="6">
        <v>163346</v>
      </c>
      <c r="AC89" s="8">
        <v>2731110</v>
      </c>
      <c r="AD89" s="8">
        <v>53890</v>
      </c>
      <c r="AE89" s="3" t="s">
        <v>3</v>
      </c>
      <c r="AF89" s="3">
        <v>7372</v>
      </c>
      <c r="AG89" s="3" t="s">
        <v>3</v>
      </c>
      <c r="AH89" s="3">
        <v>1332</v>
      </c>
      <c r="AI89" s="1">
        <v>211674</v>
      </c>
      <c r="AJ89" s="2">
        <v>17957</v>
      </c>
      <c r="AK89" s="2">
        <v>92648</v>
      </c>
      <c r="AL89" s="2">
        <v>250057</v>
      </c>
      <c r="AM89" s="2" t="s">
        <v>3</v>
      </c>
      <c r="AN89" s="64" t="s">
        <v>3</v>
      </c>
      <c r="AO89" s="64" t="s">
        <v>3</v>
      </c>
      <c r="AP89" s="64" t="s">
        <v>3</v>
      </c>
      <c r="AQ89" s="64" t="s">
        <v>3</v>
      </c>
      <c r="AR89" s="64" t="s">
        <v>3</v>
      </c>
      <c r="AS89" s="42">
        <v>5743</v>
      </c>
      <c r="AT89" s="42">
        <v>7596</v>
      </c>
      <c r="AU89" s="42" t="s">
        <v>3</v>
      </c>
      <c r="AV89" s="42">
        <v>5460</v>
      </c>
      <c r="AW89" s="53" t="s">
        <v>3</v>
      </c>
      <c r="AX89" s="53" t="s">
        <v>3</v>
      </c>
      <c r="AY89" s="57" t="s">
        <v>3</v>
      </c>
      <c r="AZ89" s="57" t="s">
        <v>3</v>
      </c>
      <c r="BA89" s="121" t="s">
        <v>3</v>
      </c>
      <c r="BB89" s="4" t="s">
        <v>3</v>
      </c>
      <c r="BC89" s="38" t="s">
        <v>131</v>
      </c>
      <c r="BD89" s="3">
        <v>4880</v>
      </c>
    </row>
    <row r="90" spans="1:56" ht="15" customHeight="1" x14ac:dyDescent="0.25">
      <c r="A90" s="38" t="s">
        <v>98</v>
      </c>
      <c r="B90" s="38" t="s">
        <v>138</v>
      </c>
      <c r="C90" s="38" t="s">
        <v>212</v>
      </c>
      <c r="D90" s="48">
        <v>172.133205</v>
      </c>
      <c r="E90" s="92">
        <f t="shared" si="1"/>
        <v>54.166666666666664</v>
      </c>
      <c r="F90" s="12">
        <v>1142362</v>
      </c>
      <c r="G90" s="12">
        <v>1378183</v>
      </c>
      <c r="H90" s="12" t="s">
        <v>3</v>
      </c>
      <c r="I90" s="11" t="s">
        <v>3</v>
      </c>
      <c r="J90" s="11" t="s">
        <v>3</v>
      </c>
      <c r="K90" s="114" t="s">
        <v>3</v>
      </c>
      <c r="L90" s="5" t="s">
        <v>3</v>
      </c>
      <c r="M90" s="5">
        <v>958152</v>
      </c>
      <c r="N90" s="5">
        <v>828240</v>
      </c>
      <c r="O90" s="5">
        <v>945802</v>
      </c>
      <c r="P90" s="5">
        <v>616515</v>
      </c>
      <c r="Q90" s="5">
        <v>941155</v>
      </c>
      <c r="R90" s="5">
        <v>1520336</v>
      </c>
      <c r="S90" s="5">
        <v>915324</v>
      </c>
      <c r="T90" s="5">
        <v>442592</v>
      </c>
      <c r="U90" s="5">
        <v>179444</v>
      </c>
      <c r="V90" s="5">
        <v>675620</v>
      </c>
      <c r="W90" s="13">
        <v>1699672</v>
      </c>
      <c r="X90" s="13">
        <v>2462173</v>
      </c>
      <c r="Y90" s="13" t="s">
        <v>3</v>
      </c>
      <c r="Z90" s="40">
        <v>3101125</v>
      </c>
      <c r="AA90" s="6">
        <v>6530490</v>
      </c>
      <c r="AB90" s="6" t="s">
        <v>3</v>
      </c>
      <c r="AC90" s="8">
        <v>3825674</v>
      </c>
      <c r="AD90" s="8" t="s">
        <v>3</v>
      </c>
      <c r="AE90" s="3">
        <v>31520</v>
      </c>
      <c r="AF90" s="3">
        <v>32360</v>
      </c>
      <c r="AG90" s="3" t="s">
        <v>3</v>
      </c>
      <c r="AH90" s="3" t="s">
        <v>3</v>
      </c>
      <c r="AI90" s="1">
        <v>167166</v>
      </c>
      <c r="AJ90" s="2">
        <v>390068</v>
      </c>
      <c r="AK90" s="2">
        <v>172919</v>
      </c>
      <c r="AL90" s="2">
        <v>685567</v>
      </c>
      <c r="AM90" s="2" t="s">
        <v>3</v>
      </c>
      <c r="AN90" s="64" t="s">
        <v>3</v>
      </c>
      <c r="AO90" s="64" t="s">
        <v>3</v>
      </c>
      <c r="AP90" s="64" t="s">
        <v>3</v>
      </c>
      <c r="AQ90" s="64" t="s">
        <v>3</v>
      </c>
      <c r="AR90" s="64" t="s">
        <v>3</v>
      </c>
      <c r="AS90" s="42">
        <v>9905</v>
      </c>
      <c r="AT90" s="42">
        <v>28748</v>
      </c>
      <c r="AU90" s="42">
        <v>848</v>
      </c>
      <c r="AV90" s="42">
        <v>20296</v>
      </c>
      <c r="AW90" s="53" t="s">
        <v>3</v>
      </c>
      <c r="AX90" s="53">
        <v>3941</v>
      </c>
      <c r="AY90" s="57" t="s">
        <v>3</v>
      </c>
      <c r="AZ90" s="57" t="s">
        <v>3</v>
      </c>
      <c r="BA90" s="121" t="s">
        <v>3</v>
      </c>
      <c r="BB90" s="5">
        <v>735317.68500000006</v>
      </c>
      <c r="BC90" s="38" t="s">
        <v>3</v>
      </c>
      <c r="BD90" s="3" t="s">
        <v>3</v>
      </c>
    </row>
    <row r="91" spans="1:56" ht="15" customHeight="1" x14ac:dyDescent="0.25">
      <c r="A91" s="38" t="s">
        <v>100</v>
      </c>
      <c r="B91" s="38" t="s">
        <v>138</v>
      </c>
      <c r="C91" s="38" t="s">
        <v>213</v>
      </c>
      <c r="D91" s="48">
        <v>154.12264099999999</v>
      </c>
      <c r="E91" s="92">
        <f t="shared" si="1"/>
        <v>58.333333333333336</v>
      </c>
      <c r="F91" s="12">
        <v>607577</v>
      </c>
      <c r="G91" s="12">
        <v>1796594</v>
      </c>
      <c r="H91" s="12" t="s">
        <v>3</v>
      </c>
      <c r="I91" s="11" t="s">
        <v>3</v>
      </c>
      <c r="J91" s="10">
        <v>589431</v>
      </c>
      <c r="K91" s="115">
        <v>210587</v>
      </c>
      <c r="L91" s="5" t="s">
        <v>3</v>
      </c>
      <c r="M91" s="5">
        <v>1014501</v>
      </c>
      <c r="N91" s="5">
        <v>1866823</v>
      </c>
      <c r="O91" s="5">
        <v>551157</v>
      </c>
      <c r="P91" s="5">
        <v>578871</v>
      </c>
      <c r="Q91" s="5">
        <v>1175895</v>
      </c>
      <c r="R91" s="5">
        <v>682607</v>
      </c>
      <c r="S91" s="5">
        <v>1632172</v>
      </c>
      <c r="T91" s="5">
        <v>123589</v>
      </c>
      <c r="U91" s="5">
        <v>55238</v>
      </c>
      <c r="V91" s="5">
        <v>1485645</v>
      </c>
      <c r="W91" s="13">
        <v>16846216</v>
      </c>
      <c r="X91" s="13">
        <v>17256478</v>
      </c>
      <c r="Y91" s="13" t="s">
        <v>3</v>
      </c>
      <c r="Z91" s="40">
        <v>33049074</v>
      </c>
      <c r="AA91" s="6">
        <v>2340138</v>
      </c>
      <c r="AB91" s="6" t="s">
        <v>3</v>
      </c>
      <c r="AC91" s="8">
        <v>6694649</v>
      </c>
      <c r="AD91" s="8" t="s">
        <v>3</v>
      </c>
      <c r="AE91" s="3">
        <v>11120</v>
      </c>
      <c r="AF91" s="3">
        <v>78508</v>
      </c>
      <c r="AG91" s="3">
        <v>2412</v>
      </c>
      <c r="AH91" s="3">
        <v>6672</v>
      </c>
      <c r="AI91" s="1" t="s">
        <v>3</v>
      </c>
      <c r="AJ91" s="2">
        <v>550854</v>
      </c>
      <c r="AK91" s="2">
        <v>594481</v>
      </c>
      <c r="AL91" s="2">
        <v>840932</v>
      </c>
      <c r="AM91" s="2" t="s">
        <v>3</v>
      </c>
      <c r="AN91" s="64" t="s">
        <v>3</v>
      </c>
      <c r="AO91" s="64" t="s">
        <v>3</v>
      </c>
      <c r="AP91" s="64" t="s">
        <v>3</v>
      </c>
      <c r="AQ91" s="64" t="s">
        <v>3</v>
      </c>
      <c r="AR91" s="64" t="s">
        <v>3</v>
      </c>
      <c r="AS91" s="42">
        <v>2921</v>
      </c>
      <c r="AT91" s="42">
        <v>5557</v>
      </c>
      <c r="AU91" s="42">
        <v>1504</v>
      </c>
      <c r="AV91" s="42">
        <v>2888</v>
      </c>
      <c r="AW91" s="53" t="s">
        <v>3</v>
      </c>
      <c r="AX91" s="53" t="s">
        <v>3</v>
      </c>
      <c r="AY91" s="57" t="s">
        <v>3</v>
      </c>
      <c r="AZ91" s="57">
        <v>77247</v>
      </c>
      <c r="BA91" s="121">
        <v>383189</v>
      </c>
      <c r="BB91" s="4" t="s">
        <v>3</v>
      </c>
      <c r="BC91" s="38" t="s">
        <v>131</v>
      </c>
      <c r="BD91" s="3">
        <v>35944</v>
      </c>
    </row>
    <row r="92" spans="1:56" ht="15" customHeight="1" x14ac:dyDescent="0.25">
      <c r="A92" s="38" t="s">
        <v>101</v>
      </c>
      <c r="B92" s="38" t="s">
        <v>138</v>
      </c>
      <c r="C92" s="38" t="s">
        <v>214</v>
      </c>
      <c r="D92" s="48">
        <v>273.18490600000001</v>
      </c>
      <c r="E92" s="92">
        <f t="shared" si="1"/>
        <v>58.333333333333336</v>
      </c>
      <c r="F92" s="12">
        <v>281265</v>
      </c>
      <c r="G92" s="12">
        <v>541383</v>
      </c>
      <c r="H92" s="12">
        <v>8931</v>
      </c>
      <c r="I92" s="11" t="s">
        <v>3</v>
      </c>
      <c r="J92" s="11" t="s">
        <v>3</v>
      </c>
      <c r="K92" s="114" t="s">
        <v>3</v>
      </c>
      <c r="L92" s="5" t="s">
        <v>3</v>
      </c>
      <c r="M92" s="5">
        <v>762264</v>
      </c>
      <c r="N92" s="5">
        <v>661767</v>
      </c>
      <c r="O92" s="5">
        <v>387901</v>
      </c>
      <c r="P92" s="5">
        <v>385739</v>
      </c>
      <c r="Q92" s="5">
        <v>425194</v>
      </c>
      <c r="R92" s="5">
        <v>643185</v>
      </c>
      <c r="S92" s="5">
        <v>1279899</v>
      </c>
      <c r="T92" s="5">
        <v>378693</v>
      </c>
      <c r="U92" s="5">
        <v>431983</v>
      </c>
      <c r="V92" s="5">
        <v>298951</v>
      </c>
      <c r="W92" s="13">
        <v>8623017</v>
      </c>
      <c r="X92" s="13">
        <v>10523800</v>
      </c>
      <c r="Y92" s="13" t="s">
        <v>3</v>
      </c>
      <c r="Z92" s="40" t="s">
        <v>3</v>
      </c>
      <c r="AA92" s="6" t="s">
        <v>3</v>
      </c>
      <c r="AB92" s="6" t="s">
        <v>3</v>
      </c>
      <c r="AC92" s="8">
        <v>1768238</v>
      </c>
      <c r="AD92" s="8" t="s">
        <v>3</v>
      </c>
      <c r="AE92" s="3">
        <v>25532</v>
      </c>
      <c r="AF92" s="3">
        <v>144956</v>
      </c>
      <c r="AG92" s="3">
        <v>224332</v>
      </c>
      <c r="AH92" s="3">
        <v>14644</v>
      </c>
      <c r="AI92" s="1">
        <v>154042</v>
      </c>
      <c r="AJ92" s="2">
        <v>680025</v>
      </c>
      <c r="AK92" s="2">
        <v>1190459</v>
      </c>
      <c r="AL92" s="2">
        <v>1910736</v>
      </c>
      <c r="AM92" s="2">
        <v>8540</v>
      </c>
      <c r="AN92" s="64" t="s">
        <v>3</v>
      </c>
      <c r="AO92" s="64" t="s">
        <v>3</v>
      </c>
      <c r="AP92" s="64" t="s">
        <v>3</v>
      </c>
      <c r="AQ92" s="64" t="s">
        <v>3</v>
      </c>
      <c r="AR92" s="64" t="s">
        <v>3</v>
      </c>
      <c r="AS92" s="42" t="s">
        <v>3</v>
      </c>
      <c r="AT92" s="42">
        <v>1741</v>
      </c>
      <c r="AU92" s="42">
        <v>1284</v>
      </c>
      <c r="AV92" s="42">
        <v>1225</v>
      </c>
      <c r="AW92" s="53" t="s">
        <v>3</v>
      </c>
      <c r="AX92" s="53" t="s">
        <v>3</v>
      </c>
      <c r="AY92" s="57">
        <v>532152</v>
      </c>
      <c r="AZ92" s="57">
        <v>1660666</v>
      </c>
      <c r="BA92" s="121">
        <v>1844351</v>
      </c>
      <c r="BB92" s="4" t="s">
        <v>3</v>
      </c>
      <c r="BC92" s="38" t="s">
        <v>131</v>
      </c>
      <c r="BD92" s="3">
        <v>38764</v>
      </c>
    </row>
    <row r="93" spans="1:56" ht="15" customHeight="1" x14ac:dyDescent="0.25">
      <c r="A93" s="38" t="s">
        <v>102</v>
      </c>
      <c r="B93" s="38" t="s">
        <v>138</v>
      </c>
      <c r="C93" s="38" t="s">
        <v>215</v>
      </c>
      <c r="D93" s="48">
        <v>103.061437</v>
      </c>
      <c r="E93" s="92">
        <f t="shared" si="1"/>
        <v>10.416666666666668</v>
      </c>
      <c r="F93" s="12" t="s">
        <v>3</v>
      </c>
      <c r="G93" s="12" t="s">
        <v>3</v>
      </c>
      <c r="H93" s="12" t="s">
        <v>3</v>
      </c>
      <c r="I93" s="11" t="s">
        <v>3</v>
      </c>
      <c r="J93" s="11" t="s">
        <v>3</v>
      </c>
      <c r="K93" s="114" t="s">
        <v>3</v>
      </c>
      <c r="L93" s="5" t="s">
        <v>3</v>
      </c>
      <c r="M93" s="5" t="s">
        <v>3</v>
      </c>
      <c r="N93" s="5" t="s">
        <v>3</v>
      </c>
      <c r="O93" s="5" t="s">
        <v>3</v>
      </c>
      <c r="P93" s="5" t="s">
        <v>3</v>
      </c>
      <c r="Q93" s="5" t="s">
        <v>3</v>
      </c>
      <c r="R93" s="5" t="s">
        <v>3</v>
      </c>
      <c r="S93" s="5" t="s">
        <v>3</v>
      </c>
      <c r="T93" s="5" t="s">
        <v>3</v>
      </c>
      <c r="U93" s="5" t="s">
        <v>3</v>
      </c>
      <c r="V93" s="5" t="s">
        <v>3</v>
      </c>
      <c r="W93" s="13" t="s">
        <v>3</v>
      </c>
      <c r="X93" s="13" t="s">
        <v>3</v>
      </c>
      <c r="Y93" s="13" t="s">
        <v>3</v>
      </c>
      <c r="Z93" s="40" t="s">
        <v>3</v>
      </c>
      <c r="AA93" s="6">
        <v>2635926</v>
      </c>
      <c r="AB93" s="6" t="s">
        <v>3</v>
      </c>
      <c r="AC93" s="8" t="s">
        <v>3</v>
      </c>
      <c r="AD93" s="8" t="s">
        <v>3</v>
      </c>
      <c r="AE93" s="3">
        <v>3468</v>
      </c>
      <c r="AF93" s="3">
        <v>142432</v>
      </c>
      <c r="AG93" s="3" t="s">
        <v>3</v>
      </c>
      <c r="AH93" s="3" t="s">
        <v>3</v>
      </c>
      <c r="AI93" s="1" t="s">
        <v>3</v>
      </c>
      <c r="AJ93" s="2">
        <v>9058</v>
      </c>
      <c r="AK93" s="2">
        <v>11630</v>
      </c>
      <c r="AL93" s="1" t="s">
        <v>3</v>
      </c>
      <c r="AM93" s="1" t="s">
        <v>3</v>
      </c>
      <c r="AN93" s="64" t="s">
        <v>3</v>
      </c>
      <c r="AO93" s="64" t="s">
        <v>3</v>
      </c>
      <c r="AP93" s="64" t="s">
        <v>3</v>
      </c>
      <c r="AQ93" s="64" t="s">
        <v>3</v>
      </c>
      <c r="AR93" s="64" t="s">
        <v>3</v>
      </c>
      <c r="AS93" s="42" t="s">
        <v>3</v>
      </c>
      <c r="AT93" s="42" t="s">
        <v>3</v>
      </c>
      <c r="AU93" s="42" t="s">
        <v>3</v>
      </c>
      <c r="AV93" s="42" t="s">
        <v>3</v>
      </c>
      <c r="AW93" s="53" t="s">
        <v>3</v>
      </c>
      <c r="AX93" s="53" t="s">
        <v>3</v>
      </c>
      <c r="AY93" s="57" t="s">
        <v>3</v>
      </c>
      <c r="AZ93" s="57" t="s">
        <v>3</v>
      </c>
      <c r="BA93" s="121" t="s">
        <v>3</v>
      </c>
      <c r="BB93" s="4" t="s">
        <v>3</v>
      </c>
      <c r="BC93" s="38" t="s">
        <v>3</v>
      </c>
      <c r="BD93" s="3" t="s">
        <v>3</v>
      </c>
    </row>
    <row r="94" spans="1:56" ht="15" customHeight="1" x14ac:dyDescent="0.25">
      <c r="A94" s="38" t="s">
        <v>103</v>
      </c>
      <c r="B94" s="38" t="s">
        <v>138</v>
      </c>
      <c r="C94" s="38" t="s">
        <v>216</v>
      </c>
      <c r="D94" s="48">
        <v>447.25030099999998</v>
      </c>
      <c r="E94" s="92">
        <f t="shared" si="1"/>
        <v>58.333333333333336</v>
      </c>
      <c r="F94" s="126">
        <v>261206</v>
      </c>
      <c r="G94" s="126">
        <v>561918</v>
      </c>
      <c r="H94" s="12" t="s">
        <v>3</v>
      </c>
      <c r="I94" s="11" t="s">
        <v>3</v>
      </c>
      <c r="J94" s="11" t="s">
        <v>3</v>
      </c>
      <c r="K94" s="115">
        <v>355609</v>
      </c>
      <c r="L94" s="5" t="s">
        <v>3</v>
      </c>
      <c r="M94" s="5">
        <v>198611</v>
      </c>
      <c r="N94" s="5">
        <v>27420</v>
      </c>
      <c r="O94" s="5">
        <v>40126</v>
      </c>
      <c r="P94" s="5">
        <v>18303</v>
      </c>
      <c r="Q94" s="5">
        <v>38798</v>
      </c>
      <c r="R94" s="5" t="s">
        <v>3</v>
      </c>
      <c r="S94" s="5">
        <v>78007</v>
      </c>
      <c r="T94" s="5">
        <v>39298</v>
      </c>
      <c r="U94" s="5">
        <v>95292</v>
      </c>
      <c r="V94" s="5" t="s">
        <v>3</v>
      </c>
      <c r="W94" s="13">
        <v>675532</v>
      </c>
      <c r="X94" s="13">
        <v>2117457</v>
      </c>
      <c r="Y94" s="13" t="s">
        <v>3</v>
      </c>
      <c r="Z94" s="40">
        <v>8588053</v>
      </c>
      <c r="AA94" s="6">
        <v>12939302</v>
      </c>
      <c r="AB94" s="6">
        <v>65341</v>
      </c>
      <c r="AC94" s="8">
        <v>1483019</v>
      </c>
      <c r="AD94" s="8">
        <v>104337</v>
      </c>
      <c r="AE94" s="3">
        <v>13644</v>
      </c>
      <c r="AF94" s="3">
        <v>20652</v>
      </c>
      <c r="AG94" s="3">
        <v>2900</v>
      </c>
      <c r="AH94" s="3">
        <v>4056</v>
      </c>
      <c r="AI94" s="1">
        <v>81935</v>
      </c>
      <c r="AJ94" s="2">
        <v>30281</v>
      </c>
      <c r="AK94" s="2">
        <v>57537</v>
      </c>
      <c r="AL94" s="2">
        <v>15759</v>
      </c>
      <c r="AM94" s="2" t="s">
        <v>3</v>
      </c>
      <c r="AN94" s="64" t="s">
        <v>3</v>
      </c>
      <c r="AO94" s="64" t="s">
        <v>3</v>
      </c>
      <c r="AP94" s="64" t="s">
        <v>3</v>
      </c>
      <c r="AQ94" s="64" t="s">
        <v>3</v>
      </c>
      <c r="AR94" s="64" t="s">
        <v>3</v>
      </c>
      <c r="AS94" s="42">
        <v>2025</v>
      </c>
      <c r="AT94" s="42">
        <v>13876</v>
      </c>
      <c r="AU94" s="42" t="s">
        <v>3</v>
      </c>
      <c r="AV94" s="42">
        <v>2413</v>
      </c>
      <c r="AW94" s="53" t="s">
        <v>3</v>
      </c>
      <c r="AX94" s="53" t="s">
        <v>3</v>
      </c>
      <c r="AY94" s="57">
        <v>547376</v>
      </c>
      <c r="AZ94" s="57" t="s">
        <v>3</v>
      </c>
      <c r="BA94" s="121">
        <v>1608562</v>
      </c>
      <c r="BB94" s="4" t="s">
        <v>3</v>
      </c>
      <c r="BC94" s="38" t="s">
        <v>131</v>
      </c>
      <c r="BD94" s="3">
        <v>7152</v>
      </c>
    </row>
    <row r="95" spans="1:56" ht="15" customHeight="1" x14ac:dyDescent="0.25">
      <c r="A95" s="38" t="s">
        <v>106</v>
      </c>
      <c r="B95" s="38" t="s">
        <v>138</v>
      </c>
      <c r="C95" s="38" t="s">
        <v>217</v>
      </c>
      <c r="D95" s="48">
        <v>166.08625499999999</v>
      </c>
      <c r="E95" s="92">
        <f t="shared" si="1"/>
        <v>43.75</v>
      </c>
      <c r="F95" s="12" t="s">
        <v>3</v>
      </c>
      <c r="G95" s="12" t="s">
        <v>3</v>
      </c>
      <c r="H95" s="12" t="s">
        <v>3</v>
      </c>
      <c r="I95" s="11" t="s">
        <v>3</v>
      </c>
      <c r="J95" s="11" t="s">
        <v>3</v>
      </c>
      <c r="K95" s="114" t="s">
        <v>3</v>
      </c>
      <c r="L95" s="5">
        <v>49387</v>
      </c>
      <c r="M95" s="5">
        <v>338169</v>
      </c>
      <c r="N95" s="5">
        <v>367278</v>
      </c>
      <c r="O95" s="5">
        <v>434974</v>
      </c>
      <c r="P95" s="5">
        <v>306080</v>
      </c>
      <c r="Q95" s="5">
        <v>388224</v>
      </c>
      <c r="R95" s="5">
        <v>267843</v>
      </c>
      <c r="S95" s="5">
        <v>362852</v>
      </c>
      <c r="T95" s="5">
        <v>379333</v>
      </c>
      <c r="U95" s="5">
        <v>271614</v>
      </c>
      <c r="V95" s="5">
        <v>296861</v>
      </c>
      <c r="W95" s="13" t="s">
        <v>3</v>
      </c>
      <c r="X95" s="13" t="s">
        <v>3</v>
      </c>
      <c r="Y95" s="13" t="s">
        <v>3</v>
      </c>
      <c r="Z95" s="40" t="s">
        <v>3</v>
      </c>
      <c r="AA95" s="6" t="s">
        <v>3</v>
      </c>
      <c r="AB95" s="6" t="s">
        <v>3</v>
      </c>
      <c r="AC95" s="8" t="s">
        <v>3</v>
      </c>
      <c r="AD95" s="8" t="s">
        <v>3</v>
      </c>
      <c r="AE95" s="3">
        <v>46040</v>
      </c>
      <c r="AF95" s="3" t="s">
        <v>3</v>
      </c>
      <c r="AG95" s="3">
        <v>80884</v>
      </c>
      <c r="AH95" s="3">
        <v>5076</v>
      </c>
      <c r="AI95" s="1">
        <v>116634</v>
      </c>
      <c r="AJ95" s="2">
        <v>112613</v>
      </c>
      <c r="AK95" s="1" t="s">
        <v>3</v>
      </c>
      <c r="AL95" s="2">
        <v>14983</v>
      </c>
      <c r="AM95" s="2" t="s">
        <v>3</v>
      </c>
      <c r="AN95" s="64" t="s">
        <v>3</v>
      </c>
      <c r="AO95" s="64" t="s">
        <v>3</v>
      </c>
      <c r="AP95" s="64" t="s">
        <v>3</v>
      </c>
      <c r="AQ95" s="64" t="s">
        <v>3</v>
      </c>
      <c r="AR95" s="64" t="s">
        <v>3</v>
      </c>
      <c r="AS95" s="42" t="s">
        <v>3</v>
      </c>
      <c r="AT95" s="42">
        <v>1376</v>
      </c>
      <c r="AU95" s="42">
        <v>1028</v>
      </c>
      <c r="AV95" s="42" t="s">
        <v>3</v>
      </c>
      <c r="AW95" s="53">
        <v>43885</v>
      </c>
      <c r="AX95" s="53" t="s">
        <v>3</v>
      </c>
      <c r="AY95" s="57">
        <v>294541</v>
      </c>
      <c r="AZ95" s="57" t="s">
        <v>3</v>
      </c>
      <c r="BA95" s="121" t="s">
        <v>3</v>
      </c>
      <c r="BB95" s="4" t="s">
        <v>3</v>
      </c>
      <c r="BC95" s="38" t="s">
        <v>3</v>
      </c>
      <c r="BD95" s="3" t="s">
        <v>3</v>
      </c>
    </row>
    <row r="96" spans="1:56" ht="15" customHeight="1" x14ac:dyDescent="0.25">
      <c r="A96" s="38" t="s">
        <v>2</v>
      </c>
      <c r="B96" s="38" t="s">
        <v>138</v>
      </c>
      <c r="C96" s="38" t="s">
        <v>218</v>
      </c>
      <c r="D96" s="48">
        <v>246.92272199999999</v>
      </c>
      <c r="E96" s="92">
        <f t="shared" si="1"/>
        <v>4.1666666666666661</v>
      </c>
      <c r="F96" s="12" t="s">
        <v>3</v>
      </c>
      <c r="G96" s="12" t="s">
        <v>3</v>
      </c>
      <c r="H96" s="12" t="s">
        <v>3</v>
      </c>
      <c r="I96" s="11" t="s">
        <v>3</v>
      </c>
      <c r="J96" s="11" t="s">
        <v>3</v>
      </c>
      <c r="K96" s="114" t="s">
        <v>3</v>
      </c>
      <c r="L96" s="5" t="s">
        <v>3</v>
      </c>
      <c r="M96" s="5" t="s">
        <v>3</v>
      </c>
      <c r="N96" s="5" t="s">
        <v>3</v>
      </c>
      <c r="O96" s="5" t="s">
        <v>3</v>
      </c>
      <c r="P96" s="5" t="s">
        <v>3</v>
      </c>
      <c r="Q96" s="5" t="s">
        <v>3</v>
      </c>
      <c r="R96" s="5" t="s">
        <v>3</v>
      </c>
      <c r="S96" s="5" t="s">
        <v>3</v>
      </c>
      <c r="T96" s="5" t="s">
        <v>3</v>
      </c>
      <c r="U96" s="5" t="s">
        <v>3</v>
      </c>
      <c r="V96" s="5" t="s">
        <v>3</v>
      </c>
      <c r="W96" s="13" t="s">
        <v>3</v>
      </c>
      <c r="X96" s="13" t="s">
        <v>3</v>
      </c>
      <c r="Y96" s="13" t="s">
        <v>3</v>
      </c>
      <c r="Z96" s="40" t="s">
        <v>3</v>
      </c>
      <c r="AA96" s="6" t="s">
        <v>3</v>
      </c>
      <c r="AB96" s="6" t="s">
        <v>3</v>
      </c>
      <c r="AC96" s="8" t="s">
        <v>3</v>
      </c>
      <c r="AD96" s="8" t="s">
        <v>3</v>
      </c>
      <c r="AE96" s="3" t="s">
        <v>3</v>
      </c>
      <c r="AF96" s="3" t="s">
        <v>3</v>
      </c>
      <c r="AG96" s="3" t="s">
        <v>3</v>
      </c>
      <c r="AH96" s="3" t="s">
        <v>3</v>
      </c>
      <c r="AI96" s="1">
        <v>2968</v>
      </c>
      <c r="AJ96" s="1" t="s">
        <v>3</v>
      </c>
      <c r="AK96" s="2">
        <v>1862</v>
      </c>
      <c r="AL96" s="1" t="s">
        <v>3</v>
      </c>
      <c r="AM96" s="1" t="s">
        <v>3</v>
      </c>
      <c r="AN96" s="64" t="s">
        <v>3</v>
      </c>
      <c r="AO96" s="64" t="s">
        <v>3</v>
      </c>
      <c r="AP96" s="64" t="s">
        <v>3</v>
      </c>
      <c r="AQ96" s="64" t="s">
        <v>3</v>
      </c>
      <c r="AR96" s="64" t="s">
        <v>3</v>
      </c>
      <c r="AS96" s="42" t="s">
        <v>3</v>
      </c>
      <c r="AT96" s="42" t="s">
        <v>3</v>
      </c>
      <c r="AU96" s="42" t="s">
        <v>3</v>
      </c>
      <c r="AV96" s="42" t="s">
        <v>3</v>
      </c>
      <c r="AW96" s="53" t="s">
        <v>3</v>
      </c>
      <c r="AX96" s="53" t="s">
        <v>3</v>
      </c>
      <c r="AY96" s="57" t="s">
        <v>3</v>
      </c>
      <c r="AZ96" s="57" t="s">
        <v>3</v>
      </c>
      <c r="BA96" s="121" t="s">
        <v>3</v>
      </c>
      <c r="BB96" s="4" t="s">
        <v>3</v>
      </c>
      <c r="BC96" s="38" t="s">
        <v>3</v>
      </c>
      <c r="BD96" s="3" t="s">
        <v>3</v>
      </c>
    </row>
    <row r="97" spans="1:56" ht="15" customHeight="1" x14ac:dyDescent="0.25">
      <c r="A97" s="38" t="s">
        <v>2</v>
      </c>
      <c r="B97" s="38" t="s">
        <v>139</v>
      </c>
      <c r="C97" s="38" t="s">
        <v>218</v>
      </c>
      <c r="D97" s="48">
        <v>244.90816899999999</v>
      </c>
      <c r="E97" s="92">
        <f t="shared" si="1"/>
        <v>25</v>
      </c>
      <c r="F97" s="12" t="s">
        <v>564</v>
      </c>
      <c r="G97" s="12" t="s">
        <v>564</v>
      </c>
      <c r="H97" s="12" t="s">
        <v>564</v>
      </c>
      <c r="I97" s="11" t="s">
        <v>3</v>
      </c>
      <c r="J97" s="11" t="s">
        <v>3</v>
      </c>
      <c r="K97" s="114" t="s">
        <v>3</v>
      </c>
      <c r="L97" s="5" t="s">
        <v>3</v>
      </c>
      <c r="M97" s="5">
        <v>38679</v>
      </c>
      <c r="N97" s="5">
        <v>40488</v>
      </c>
      <c r="O97" s="5">
        <v>17794</v>
      </c>
      <c r="P97" s="5">
        <v>15531</v>
      </c>
      <c r="Q97" s="5">
        <v>22627</v>
      </c>
      <c r="R97" s="5">
        <v>22407</v>
      </c>
      <c r="S97" s="5">
        <v>24793</v>
      </c>
      <c r="T97" s="5">
        <v>24791</v>
      </c>
      <c r="U97" s="5">
        <v>188644</v>
      </c>
      <c r="V97" s="5">
        <v>18133</v>
      </c>
      <c r="W97" s="14" t="s">
        <v>564</v>
      </c>
      <c r="X97" s="14" t="s">
        <v>564</v>
      </c>
      <c r="Y97" s="14" t="s">
        <v>564</v>
      </c>
      <c r="Z97" s="40" t="s">
        <v>3</v>
      </c>
      <c r="AA97" s="6">
        <v>6813380</v>
      </c>
      <c r="AB97" s="6" t="s">
        <v>3</v>
      </c>
      <c r="AC97" s="8" t="s">
        <v>3</v>
      </c>
      <c r="AD97" s="8" t="s">
        <v>3</v>
      </c>
      <c r="AE97" s="3" t="s">
        <v>3</v>
      </c>
      <c r="AF97" s="3" t="s">
        <v>3</v>
      </c>
      <c r="AG97" s="3" t="s">
        <v>3</v>
      </c>
      <c r="AH97" s="3" t="s">
        <v>3</v>
      </c>
      <c r="AI97" s="1" t="s">
        <v>3</v>
      </c>
      <c r="AJ97" s="1" t="s">
        <v>564</v>
      </c>
      <c r="AK97" s="1" t="s">
        <v>3</v>
      </c>
      <c r="AL97" s="1" t="s">
        <v>3</v>
      </c>
      <c r="AM97" s="1" t="s">
        <v>564</v>
      </c>
      <c r="AN97" s="64" t="s">
        <v>564</v>
      </c>
      <c r="AO97" s="64" t="s">
        <v>564</v>
      </c>
      <c r="AP97" s="64" t="s">
        <v>564</v>
      </c>
      <c r="AQ97" s="64" t="s">
        <v>564</v>
      </c>
      <c r="AR97" s="64" t="s">
        <v>564</v>
      </c>
      <c r="AS97" s="42" t="s">
        <v>3</v>
      </c>
      <c r="AT97" s="42" t="s">
        <v>3</v>
      </c>
      <c r="AU97" s="42" t="s">
        <v>3</v>
      </c>
      <c r="AV97" s="42" t="s">
        <v>3</v>
      </c>
      <c r="AW97" s="53" t="s">
        <v>3</v>
      </c>
      <c r="AX97" s="53" t="s">
        <v>3</v>
      </c>
      <c r="AY97" s="57" t="s">
        <v>3</v>
      </c>
      <c r="AZ97" s="57" t="s">
        <v>3</v>
      </c>
      <c r="BA97" s="121">
        <v>8706</v>
      </c>
      <c r="BB97" s="4" t="s">
        <v>3</v>
      </c>
      <c r="BC97" s="38" t="s">
        <v>3</v>
      </c>
      <c r="BD97" s="3" t="s">
        <v>3</v>
      </c>
    </row>
    <row r="98" spans="1:56" ht="15" customHeight="1" x14ac:dyDescent="0.25">
      <c r="A98" s="38" t="s">
        <v>51</v>
      </c>
      <c r="B98" s="38" t="s">
        <v>139</v>
      </c>
      <c r="C98" s="38" t="s">
        <v>219</v>
      </c>
      <c r="D98" s="48">
        <v>498.93021800000002</v>
      </c>
      <c r="E98" s="92">
        <f t="shared" si="1"/>
        <v>35.416666666666671</v>
      </c>
      <c r="F98" s="12" t="s">
        <v>564</v>
      </c>
      <c r="G98" s="12" t="s">
        <v>564</v>
      </c>
      <c r="H98" s="12" t="s">
        <v>564</v>
      </c>
      <c r="I98" s="11" t="s">
        <v>3</v>
      </c>
      <c r="J98" s="11" t="s">
        <v>3</v>
      </c>
      <c r="K98" s="114" t="s">
        <v>3</v>
      </c>
      <c r="L98" s="5" t="s">
        <v>3</v>
      </c>
      <c r="M98" s="5">
        <v>168258</v>
      </c>
      <c r="N98" s="5">
        <v>322598</v>
      </c>
      <c r="O98" s="5">
        <v>146123</v>
      </c>
      <c r="P98" s="5">
        <v>632869</v>
      </c>
      <c r="Q98" s="5">
        <v>222323</v>
      </c>
      <c r="R98" s="5">
        <v>207717</v>
      </c>
      <c r="S98" s="5">
        <v>4252353</v>
      </c>
      <c r="T98" s="5">
        <v>55664</v>
      </c>
      <c r="U98" s="5">
        <v>35071</v>
      </c>
      <c r="V98" s="5">
        <v>653953</v>
      </c>
      <c r="W98" s="14" t="s">
        <v>564</v>
      </c>
      <c r="X98" s="14" t="s">
        <v>564</v>
      </c>
      <c r="Y98" s="14" t="s">
        <v>564</v>
      </c>
      <c r="Z98" s="40">
        <v>1757431</v>
      </c>
      <c r="AA98" s="6">
        <v>808263</v>
      </c>
      <c r="AB98" s="6" t="s">
        <v>3</v>
      </c>
      <c r="AC98" s="8">
        <v>869370</v>
      </c>
      <c r="AD98" s="8" t="s">
        <v>3</v>
      </c>
      <c r="AE98" s="3">
        <v>1024</v>
      </c>
      <c r="AF98" s="3">
        <v>768</v>
      </c>
      <c r="AG98" s="3">
        <v>4988</v>
      </c>
      <c r="AH98" s="3" t="s">
        <v>3</v>
      </c>
      <c r="AI98" s="1" t="s">
        <v>3</v>
      </c>
      <c r="AJ98" s="1" t="s">
        <v>564</v>
      </c>
      <c r="AK98" s="1" t="s">
        <v>137</v>
      </c>
      <c r="AL98" s="1" t="s">
        <v>3</v>
      </c>
      <c r="AM98" s="1" t="s">
        <v>564</v>
      </c>
      <c r="AN98" s="64" t="s">
        <v>564</v>
      </c>
      <c r="AO98" s="64" t="s">
        <v>564</v>
      </c>
      <c r="AP98" s="64" t="s">
        <v>564</v>
      </c>
      <c r="AQ98" s="64" t="s">
        <v>564</v>
      </c>
      <c r="AR98" s="64" t="s">
        <v>564</v>
      </c>
      <c r="AS98" s="42" t="s">
        <v>3</v>
      </c>
      <c r="AT98" s="42" t="s">
        <v>3</v>
      </c>
      <c r="AU98" s="42" t="s">
        <v>3</v>
      </c>
      <c r="AV98" s="42" t="s">
        <v>3</v>
      </c>
      <c r="AW98" s="53" t="s">
        <v>3</v>
      </c>
      <c r="AX98" s="53" t="s">
        <v>3</v>
      </c>
      <c r="AY98" s="57" t="s">
        <v>3</v>
      </c>
      <c r="AZ98" s="57" t="s">
        <v>3</v>
      </c>
      <c r="BA98" s="121">
        <v>185371</v>
      </c>
      <c r="BB98" s="4" t="s">
        <v>3</v>
      </c>
      <c r="BC98" s="38" t="s">
        <v>137</v>
      </c>
      <c r="BD98" s="3">
        <v>1480</v>
      </c>
    </row>
    <row r="99" spans="1:56" ht="15" customHeight="1" x14ac:dyDescent="0.25">
      <c r="A99" s="38" t="s">
        <v>23</v>
      </c>
      <c r="B99" s="38" t="s">
        <v>138</v>
      </c>
      <c r="C99" s="38" t="s">
        <v>220</v>
      </c>
      <c r="D99" s="48">
        <v>416.92160799999999</v>
      </c>
      <c r="E99" s="92">
        <f t="shared" si="1"/>
        <v>0</v>
      </c>
      <c r="F99" s="12" t="s">
        <v>3</v>
      </c>
      <c r="G99" s="12" t="s">
        <v>3</v>
      </c>
      <c r="H99" s="12" t="s">
        <v>3</v>
      </c>
      <c r="I99" s="11" t="s">
        <v>3</v>
      </c>
      <c r="J99" s="11" t="s">
        <v>3</v>
      </c>
      <c r="K99" s="114" t="s">
        <v>3</v>
      </c>
      <c r="L99" s="5" t="s">
        <v>3</v>
      </c>
      <c r="M99" s="5" t="s">
        <v>3</v>
      </c>
      <c r="N99" s="5" t="s">
        <v>3</v>
      </c>
      <c r="O99" s="5" t="s">
        <v>3</v>
      </c>
      <c r="P99" s="5" t="s">
        <v>3</v>
      </c>
      <c r="Q99" s="5" t="s">
        <v>3</v>
      </c>
      <c r="R99" s="5" t="s">
        <v>3</v>
      </c>
      <c r="S99" s="5" t="s">
        <v>3</v>
      </c>
      <c r="T99" s="5" t="s">
        <v>3</v>
      </c>
      <c r="U99" s="5" t="s">
        <v>3</v>
      </c>
      <c r="V99" s="5" t="s">
        <v>3</v>
      </c>
      <c r="W99" s="13" t="s">
        <v>3</v>
      </c>
      <c r="X99" s="13" t="s">
        <v>3</v>
      </c>
      <c r="Y99" s="13" t="s">
        <v>3</v>
      </c>
      <c r="Z99" s="40" t="s">
        <v>3</v>
      </c>
      <c r="AA99" s="6" t="s">
        <v>3</v>
      </c>
      <c r="AB99" s="6" t="s">
        <v>3</v>
      </c>
      <c r="AC99" s="8" t="s">
        <v>3</v>
      </c>
      <c r="AD99" s="8" t="s">
        <v>3</v>
      </c>
      <c r="AE99" s="3" t="s">
        <v>3</v>
      </c>
      <c r="AF99" s="3" t="s">
        <v>3</v>
      </c>
      <c r="AG99" s="3" t="s">
        <v>3</v>
      </c>
      <c r="AH99" s="3" t="s">
        <v>3</v>
      </c>
      <c r="AI99" s="1" t="s">
        <v>3</v>
      </c>
      <c r="AJ99" s="1" t="s">
        <v>3</v>
      </c>
      <c r="AK99" s="1" t="s">
        <v>3</v>
      </c>
      <c r="AL99" s="1" t="s">
        <v>3</v>
      </c>
      <c r="AM99" s="1" t="s">
        <v>3</v>
      </c>
      <c r="AN99" s="64" t="s">
        <v>3</v>
      </c>
      <c r="AO99" s="64" t="s">
        <v>3</v>
      </c>
      <c r="AP99" s="64" t="s">
        <v>3</v>
      </c>
      <c r="AQ99" s="64" t="s">
        <v>3</v>
      </c>
      <c r="AR99" s="64" t="s">
        <v>3</v>
      </c>
      <c r="AS99" s="42" t="s">
        <v>3</v>
      </c>
      <c r="AT99" s="42" t="s">
        <v>3</v>
      </c>
      <c r="AU99" s="42" t="s">
        <v>3</v>
      </c>
      <c r="AV99" s="42" t="s">
        <v>3</v>
      </c>
      <c r="AW99" s="53" t="s">
        <v>3</v>
      </c>
      <c r="AX99" s="53" t="s">
        <v>3</v>
      </c>
      <c r="AY99" s="57" t="s">
        <v>3</v>
      </c>
      <c r="AZ99" s="57" t="s">
        <v>3</v>
      </c>
      <c r="BA99" s="121" t="s">
        <v>3</v>
      </c>
      <c r="BB99" s="4" t="s">
        <v>3</v>
      </c>
      <c r="BC99" s="38" t="s">
        <v>3</v>
      </c>
      <c r="BD99" s="3">
        <v>292</v>
      </c>
    </row>
    <row r="100" spans="1:56" ht="15" customHeight="1" x14ac:dyDescent="0.25">
      <c r="A100" s="38" t="s">
        <v>23</v>
      </c>
      <c r="B100" s="38" t="s">
        <v>139</v>
      </c>
      <c r="C100" s="38" t="s">
        <v>220</v>
      </c>
      <c r="D100" s="48">
        <v>414.90705500000001</v>
      </c>
      <c r="E100" s="92">
        <f t="shared" si="1"/>
        <v>0</v>
      </c>
      <c r="F100" s="12" t="s">
        <v>3</v>
      </c>
      <c r="G100" s="12" t="s">
        <v>3</v>
      </c>
      <c r="H100" s="12" t="s">
        <v>3</v>
      </c>
      <c r="I100" s="11" t="s">
        <v>3</v>
      </c>
      <c r="J100" s="11" t="s">
        <v>3</v>
      </c>
      <c r="K100" s="114" t="s">
        <v>3</v>
      </c>
      <c r="L100" s="5" t="s">
        <v>3</v>
      </c>
      <c r="M100" s="5" t="s">
        <v>3</v>
      </c>
      <c r="N100" s="5" t="s">
        <v>3</v>
      </c>
      <c r="O100" s="5" t="s">
        <v>3</v>
      </c>
      <c r="P100" s="5" t="s">
        <v>3</v>
      </c>
      <c r="Q100" s="5" t="s">
        <v>3</v>
      </c>
      <c r="R100" s="5" t="s">
        <v>3</v>
      </c>
      <c r="S100" s="5" t="s">
        <v>3</v>
      </c>
      <c r="T100" s="5" t="s">
        <v>3</v>
      </c>
      <c r="U100" s="5" t="s">
        <v>3</v>
      </c>
      <c r="V100" s="5" t="s">
        <v>3</v>
      </c>
      <c r="W100" s="14" t="s">
        <v>564</v>
      </c>
      <c r="X100" s="14" t="s">
        <v>564</v>
      </c>
      <c r="Y100" s="14" t="s">
        <v>564</v>
      </c>
      <c r="Z100" s="40" t="s">
        <v>3</v>
      </c>
      <c r="AA100" s="6" t="s">
        <v>3</v>
      </c>
      <c r="AB100" s="6" t="s">
        <v>3</v>
      </c>
      <c r="AC100" s="8" t="s">
        <v>3</v>
      </c>
      <c r="AD100" s="8" t="s">
        <v>3</v>
      </c>
      <c r="AE100" s="3" t="s">
        <v>3</v>
      </c>
      <c r="AF100" s="3" t="s">
        <v>3</v>
      </c>
      <c r="AG100" s="3" t="s">
        <v>3</v>
      </c>
      <c r="AH100" s="3" t="s">
        <v>3</v>
      </c>
      <c r="AI100" s="1" t="s">
        <v>3</v>
      </c>
      <c r="AJ100" s="1" t="s">
        <v>564</v>
      </c>
      <c r="AK100" s="1" t="s">
        <v>3</v>
      </c>
      <c r="AL100" s="1" t="s">
        <v>3</v>
      </c>
      <c r="AM100" s="1" t="s">
        <v>3</v>
      </c>
      <c r="AN100" s="64" t="s">
        <v>564</v>
      </c>
      <c r="AO100" s="64" t="s">
        <v>564</v>
      </c>
      <c r="AP100" s="64" t="s">
        <v>564</v>
      </c>
      <c r="AQ100" s="64" t="s">
        <v>564</v>
      </c>
      <c r="AR100" s="64" t="s">
        <v>564</v>
      </c>
      <c r="AS100" s="42" t="s">
        <v>3</v>
      </c>
      <c r="AT100" s="42" t="s">
        <v>3</v>
      </c>
      <c r="AU100" s="42" t="s">
        <v>3</v>
      </c>
      <c r="AV100" s="42" t="s">
        <v>3</v>
      </c>
      <c r="AW100" s="53" t="s">
        <v>3</v>
      </c>
      <c r="AX100" s="53" t="s">
        <v>3</v>
      </c>
      <c r="AY100" s="57" t="s">
        <v>3</v>
      </c>
      <c r="AZ100" s="57" t="s">
        <v>3</v>
      </c>
      <c r="BA100" s="121" t="s">
        <v>3</v>
      </c>
      <c r="BB100" s="4" t="s">
        <v>3</v>
      </c>
      <c r="BC100" s="38" t="s">
        <v>3</v>
      </c>
      <c r="BD100" s="3" t="s">
        <v>3</v>
      </c>
    </row>
    <row r="101" spans="1:56" ht="15" customHeight="1" x14ac:dyDescent="0.25">
      <c r="A101" s="38" t="s">
        <v>24</v>
      </c>
      <c r="B101" s="38" t="s">
        <v>138</v>
      </c>
      <c r="C101" s="38" t="s">
        <v>221</v>
      </c>
      <c r="D101" s="48">
        <v>516.91522099999997</v>
      </c>
      <c r="E101" s="92">
        <f t="shared" si="1"/>
        <v>0</v>
      </c>
      <c r="F101" s="12" t="s">
        <v>3</v>
      </c>
      <c r="G101" s="12" t="s">
        <v>3</v>
      </c>
      <c r="H101" s="12" t="s">
        <v>3</v>
      </c>
      <c r="I101" s="11" t="s">
        <v>3</v>
      </c>
      <c r="J101" s="11" t="s">
        <v>3</v>
      </c>
      <c r="K101" s="114" t="s">
        <v>3</v>
      </c>
      <c r="L101" s="5" t="s">
        <v>3</v>
      </c>
      <c r="M101" s="5" t="s">
        <v>3</v>
      </c>
      <c r="N101" s="5" t="s">
        <v>3</v>
      </c>
      <c r="O101" s="5" t="s">
        <v>3</v>
      </c>
      <c r="P101" s="5" t="s">
        <v>3</v>
      </c>
      <c r="Q101" s="5" t="s">
        <v>3</v>
      </c>
      <c r="R101" s="5" t="s">
        <v>3</v>
      </c>
      <c r="S101" s="5" t="s">
        <v>3</v>
      </c>
      <c r="T101" s="5" t="s">
        <v>3</v>
      </c>
      <c r="U101" s="5" t="s">
        <v>3</v>
      </c>
      <c r="V101" s="5" t="s">
        <v>3</v>
      </c>
      <c r="W101" s="13" t="s">
        <v>3</v>
      </c>
      <c r="X101" s="13" t="s">
        <v>3</v>
      </c>
      <c r="Y101" s="13" t="s">
        <v>3</v>
      </c>
      <c r="Z101" s="40" t="s">
        <v>3</v>
      </c>
      <c r="AA101" s="6" t="s">
        <v>3</v>
      </c>
      <c r="AB101" s="6" t="s">
        <v>3</v>
      </c>
      <c r="AC101" s="8" t="s">
        <v>3</v>
      </c>
      <c r="AD101" s="8" t="s">
        <v>3</v>
      </c>
      <c r="AE101" s="3" t="s">
        <v>3</v>
      </c>
      <c r="AF101" s="3" t="s">
        <v>3</v>
      </c>
      <c r="AG101" s="3" t="s">
        <v>3</v>
      </c>
      <c r="AH101" s="3" t="s">
        <v>3</v>
      </c>
      <c r="AI101" s="1" t="s">
        <v>3</v>
      </c>
      <c r="AJ101" s="1" t="s">
        <v>3</v>
      </c>
      <c r="AK101" s="1" t="s">
        <v>3</v>
      </c>
      <c r="AL101" s="1" t="s">
        <v>3</v>
      </c>
      <c r="AM101" s="1" t="s">
        <v>3</v>
      </c>
      <c r="AN101" s="64" t="s">
        <v>3</v>
      </c>
      <c r="AO101" s="64" t="s">
        <v>3</v>
      </c>
      <c r="AP101" s="64" t="s">
        <v>3</v>
      </c>
      <c r="AQ101" s="64" t="s">
        <v>3</v>
      </c>
      <c r="AR101" s="64" t="s">
        <v>3</v>
      </c>
      <c r="AS101" s="42" t="s">
        <v>3</v>
      </c>
      <c r="AT101" s="42" t="s">
        <v>3</v>
      </c>
      <c r="AU101" s="42" t="s">
        <v>3</v>
      </c>
      <c r="AV101" s="42" t="s">
        <v>3</v>
      </c>
      <c r="AW101" s="53" t="s">
        <v>3</v>
      </c>
      <c r="AX101" s="53" t="s">
        <v>3</v>
      </c>
      <c r="AY101" s="57" t="s">
        <v>3</v>
      </c>
      <c r="AZ101" s="57" t="s">
        <v>3</v>
      </c>
      <c r="BA101" s="121" t="s">
        <v>3</v>
      </c>
      <c r="BB101" s="4" t="s">
        <v>3</v>
      </c>
      <c r="BC101" s="38" t="s">
        <v>3</v>
      </c>
      <c r="BD101" s="3" t="s">
        <v>3</v>
      </c>
    </row>
    <row r="102" spans="1:56" ht="15" customHeight="1" x14ac:dyDescent="0.25">
      <c r="A102" s="38" t="s">
        <v>24</v>
      </c>
      <c r="B102" s="38" t="s">
        <v>139</v>
      </c>
      <c r="C102" s="38" t="s">
        <v>221</v>
      </c>
      <c r="D102" s="48">
        <v>514.900668</v>
      </c>
      <c r="E102" s="92">
        <f t="shared" si="1"/>
        <v>6.25</v>
      </c>
      <c r="F102" s="12" t="s">
        <v>564</v>
      </c>
      <c r="G102" s="12" t="s">
        <v>564</v>
      </c>
      <c r="H102" s="12" t="s">
        <v>564</v>
      </c>
      <c r="I102" s="11" t="s">
        <v>3</v>
      </c>
      <c r="J102" s="11" t="s">
        <v>3</v>
      </c>
      <c r="K102" s="114" t="s">
        <v>3</v>
      </c>
      <c r="L102" s="5" t="s">
        <v>3</v>
      </c>
      <c r="M102" s="5" t="s">
        <v>3</v>
      </c>
      <c r="N102" s="5" t="s">
        <v>3</v>
      </c>
      <c r="O102" s="5" t="s">
        <v>3</v>
      </c>
      <c r="P102" s="5">
        <v>1607</v>
      </c>
      <c r="Q102" s="5">
        <v>2650</v>
      </c>
      <c r="R102" s="5" t="s">
        <v>3</v>
      </c>
      <c r="S102" s="5">
        <v>37762</v>
      </c>
      <c r="T102" s="5" t="s">
        <v>3</v>
      </c>
      <c r="U102" s="5" t="s">
        <v>3</v>
      </c>
      <c r="V102" s="5" t="s">
        <v>3</v>
      </c>
      <c r="W102" s="14" t="s">
        <v>564</v>
      </c>
      <c r="X102" s="14" t="s">
        <v>564</v>
      </c>
      <c r="Y102" s="14" t="s">
        <v>564</v>
      </c>
      <c r="Z102" s="40" t="s">
        <v>3</v>
      </c>
      <c r="AA102" s="6" t="s">
        <v>3</v>
      </c>
      <c r="AB102" s="6" t="s">
        <v>3</v>
      </c>
      <c r="AC102" s="8" t="s">
        <v>3</v>
      </c>
      <c r="AD102" s="8" t="s">
        <v>3</v>
      </c>
      <c r="AE102" s="3" t="s">
        <v>3</v>
      </c>
      <c r="AF102" s="3" t="s">
        <v>3</v>
      </c>
      <c r="AG102" s="3" t="s">
        <v>3</v>
      </c>
      <c r="AH102" s="3" t="s">
        <v>3</v>
      </c>
      <c r="AI102" s="1" t="s">
        <v>3</v>
      </c>
      <c r="AJ102" s="1" t="s">
        <v>564</v>
      </c>
      <c r="AK102" s="1" t="s">
        <v>3</v>
      </c>
      <c r="AL102" s="1" t="s">
        <v>3</v>
      </c>
      <c r="AM102" s="1" t="s">
        <v>564</v>
      </c>
      <c r="AN102" s="64" t="s">
        <v>564</v>
      </c>
      <c r="AO102" s="64" t="s">
        <v>564</v>
      </c>
      <c r="AP102" s="64" t="s">
        <v>564</v>
      </c>
      <c r="AQ102" s="64" t="s">
        <v>564</v>
      </c>
      <c r="AR102" s="64" t="s">
        <v>564</v>
      </c>
      <c r="AS102" s="42" t="s">
        <v>3</v>
      </c>
      <c r="AT102" s="42" t="s">
        <v>3</v>
      </c>
      <c r="AU102" s="42" t="s">
        <v>3</v>
      </c>
      <c r="AV102" s="42" t="s">
        <v>3</v>
      </c>
      <c r="AW102" s="53" t="s">
        <v>3</v>
      </c>
      <c r="AX102" s="53" t="s">
        <v>3</v>
      </c>
      <c r="AY102" s="57" t="s">
        <v>3</v>
      </c>
      <c r="AZ102" s="57" t="s">
        <v>3</v>
      </c>
      <c r="BA102" s="121" t="s">
        <v>3</v>
      </c>
      <c r="BB102" s="4" t="s">
        <v>3</v>
      </c>
      <c r="BC102" s="38" t="s">
        <v>3</v>
      </c>
      <c r="BD102" s="3" t="s">
        <v>3</v>
      </c>
    </row>
    <row r="103" spans="1:56" ht="15" customHeight="1" x14ac:dyDescent="0.25">
      <c r="A103" s="38" t="s">
        <v>25</v>
      </c>
      <c r="B103" s="38" t="s">
        <v>138</v>
      </c>
      <c r="C103" s="38" t="s">
        <v>222</v>
      </c>
      <c r="D103" s="48">
        <v>416.94607300000001</v>
      </c>
      <c r="E103" s="92">
        <f t="shared" si="1"/>
        <v>0</v>
      </c>
      <c r="F103" s="12" t="s">
        <v>3</v>
      </c>
      <c r="G103" s="12" t="s">
        <v>3</v>
      </c>
      <c r="H103" s="12" t="s">
        <v>3</v>
      </c>
      <c r="I103" s="11" t="s">
        <v>3</v>
      </c>
      <c r="J103" s="11" t="s">
        <v>3</v>
      </c>
      <c r="K103" s="114" t="s">
        <v>3</v>
      </c>
      <c r="L103" s="5" t="s">
        <v>3</v>
      </c>
      <c r="M103" s="5" t="s">
        <v>3</v>
      </c>
      <c r="N103" s="5" t="s">
        <v>3</v>
      </c>
      <c r="O103" s="5" t="s">
        <v>3</v>
      </c>
      <c r="P103" s="5" t="s">
        <v>3</v>
      </c>
      <c r="Q103" s="5" t="s">
        <v>3</v>
      </c>
      <c r="R103" s="5" t="s">
        <v>3</v>
      </c>
      <c r="S103" s="5" t="s">
        <v>3</v>
      </c>
      <c r="T103" s="5" t="s">
        <v>3</v>
      </c>
      <c r="U103" s="5" t="s">
        <v>3</v>
      </c>
      <c r="V103" s="5" t="s">
        <v>3</v>
      </c>
      <c r="W103" s="13" t="s">
        <v>3</v>
      </c>
      <c r="X103" s="13" t="s">
        <v>3</v>
      </c>
      <c r="Y103" s="13" t="s">
        <v>3</v>
      </c>
      <c r="Z103" s="40" t="s">
        <v>3</v>
      </c>
      <c r="AA103" s="6" t="s">
        <v>3</v>
      </c>
      <c r="AB103" s="6" t="s">
        <v>3</v>
      </c>
      <c r="AC103" s="8" t="s">
        <v>3</v>
      </c>
      <c r="AD103" s="8" t="s">
        <v>3</v>
      </c>
      <c r="AE103" s="3" t="s">
        <v>3</v>
      </c>
      <c r="AF103" s="3" t="s">
        <v>3</v>
      </c>
      <c r="AG103" s="3" t="s">
        <v>3</v>
      </c>
      <c r="AH103" s="3" t="s">
        <v>3</v>
      </c>
      <c r="AI103" s="1" t="s">
        <v>3</v>
      </c>
      <c r="AJ103" s="1" t="s">
        <v>3</v>
      </c>
      <c r="AK103" s="1" t="s">
        <v>3</v>
      </c>
      <c r="AL103" s="1" t="s">
        <v>3</v>
      </c>
      <c r="AM103" s="1" t="s">
        <v>3</v>
      </c>
      <c r="AN103" s="64" t="s">
        <v>3</v>
      </c>
      <c r="AO103" s="64" t="s">
        <v>3</v>
      </c>
      <c r="AP103" s="64" t="s">
        <v>3</v>
      </c>
      <c r="AQ103" s="64" t="s">
        <v>3</v>
      </c>
      <c r="AR103" s="64" t="s">
        <v>3</v>
      </c>
      <c r="AS103" s="42" t="s">
        <v>3</v>
      </c>
      <c r="AT103" s="42" t="s">
        <v>3</v>
      </c>
      <c r="AU103" s="42" t="s">
        <v>3</v>
      </c>
      <c r="AV103" s="42" t="s">
        <v>3</v>
      </c>
      <c r="AW103" s="53" t="s">
        <v>3</v>
      </c>
      <c r="AX103" s="53" t="s">
        <v>3</v>
      </c>
      <c r="AY103" s="57" t="s">
        <v>3</v>
      </c>
      <c r="AZ103" s="57" t="s">
        <v>3</v>
      </c>
      <c r="BA103" s="121" t="s">
        <v>3</v>
      </c>
      <c r="BB103" s="4" t="s">
        <v>3</v>
      </c>
      <c r="BC103" s="38" t="s">
        <v>3</v>
      </c>
      <c r="BD103" s="3" t="s">
        <v>3</v>
      </c>
    </row>
    <row r="104" spans="1:56" ht="15" customHeight="1" x14ac:dyDescent="0.25">
      <c r="A104" s="38" t="s">
        <v>25</v>
      </c>
      <c r="B104" s="38" t="s">
        <v>139</v>
      </c>
      <c r="C104" s="38" t="s">
        <v>222</v>
      </c>
      <c r="D104" s="48">
        <v>414.93151999999998</v>
      </c>
      <c r="E104" s="92">
        <f t="shared" si="1"/>
        <v>0</v>
      </c>
      <c r="F104" s="12" t="s">
        <v>564</v>
      </c>
      <c r="G104" s="12" t="s">
        <v>564</v>
      </c>
      <c r="H104" s="12" t="s">
        <v>564</v>
      </c>
      <c r="I104" s="11" t="s">
        <v>3</v>
      </c>
      <c r="J104" s="11" t="s">
        <v>3</v>
      </c>
      <c r="K104" s="114" t="s">
        <v>3</v>
      </c>
      <c r="L104" s="5" t="s">
        <v>3</v>
      </c>
      <c r="M104" s="5" t="s">
        <v>3</v>
      </c>
      <c r="N104" s="5" t="s">
        <v>3</v>
      </c>
      <c r="O104" s="5" t="s">
        <v>3</v>
      </c>
      <c r="P104" s="5" t="s">
        <v>3</v>
      </c>
      <c r="Q104" s="5" t="s">
        <v>3</v>
      </c>
      <c r="R104" s="5" t="s">
        <v>3</v>
      </c>
      <c r="S104" s="5" t="s">
        <v>3</v>
      </c>
      <c r="T104" s="5" t="s">
        <v>3</v>
      </c>
      <c r="U104" s="5" t="s">
        <v>3</v>
      </c>
      <c r="V104" s="5" t="s">
        <v>3</v>
      </c>
      <c r="W104" s="14" t="s">
        <v>564</v>
      </c>
      <c r="X104" s="14" t="s">
        <v>564</v>
      </c>
      <c r="Y104" s="14" t="s">
        <v>564</v>
      </c>
      <c r="Z104" s="40" t="s">
        <v>3</v>
      </c>
      <c r="AA104" s="6" t="s">
        <v>3</v>
      </c>
      <c r="AB104" s="6" t="s">
        <v>3</v>
      </c>
      <c r="AC104" s="8" t="s">
        <v>3</v>
      </c>
      <c r="AD104" s="8" t="s">
        <v>3</v>
      </c>
      <c r="AE104" s="3" t="s">
        <v>3</v>
      </c>
      <c r="AF104" s="3" t="s">
        <v>3</v>
      </c>
      <c r="AG104" s="3" t="s">
        <v>3</v>
      </c>
      <c r="AH104" s="3" t="s">
        <v>3</v>
      </c>
      <c r="AI104" s="1" t="s">
        <v>3</v>
      </c>
      <c r="AJ104" s="1" t="s">
        <v>564</v>
      </c>
      <c r="AK104" s="1" t="s">
        <v>3</v>
      </c>
      <c r="AL104" s="1" t="s">
        <v>3</v>
      </c>
      <c r="AM104" s="1" t="s">
        <v>564</v>
      </c>
      <c r="AN104" s="64" t="s">
        <v>564</v>
      </c>
      <c r="AO104" s="64" t="s">
        <v>564</v>
      </c>
      <c r="AP104" s="64" t="s">
        <v>564</v>
      </c>
      <c r="AQ104" s="64" t="s">
        <v>564</v>
      </c>
      <c r="AR104" s="64" t="s">
        <v>564</v>
      </c>
      <c r="AS104" s="42" t="s">
        <v>3</v>
      </c>
      <c r="AT104" s="42" t="s">
        <v>3</v>
      </c>
      <c r="AU104" s="42" t="s">
        <v>3</v>
      </c>
      <c r="AV104" s="42" t="s">
        <v>3</v>
      </c>
      <c r="AW104" s="53" t="s">
        <v>3</v>
      </c>
      <c r="AX104" s="53" t="s">
        <v>3</v>
      </c>
      <c r="AY104" s="57" t="s">
        <v>3</v>
      </c>
      <c r="AZ104" s="57" t="s">
        <v>3</v>
      </c>
      <c r="BA104" s="121" t="s">
        <v>3</v>
      </c>
      <c r="BB104" s="4" t="s">
        <v>3</v>
      </c>
      <c r="BC104" s="38" t="s">
        <v>3</v>
      </c>
      <c r="BD104" s="3" t="s">
        <v>3</v>
      </c>
    </row>
    <row r="105" spans="1:56" ht="15" customHeight="1" x14ac:dyDescent="0.25">
      <c r="A105" s="38" t="s">
        <v>26</v>
      </c>
      <c r="B105" s="38" t="s">
        <v>138</v>
      </c>
      <c r="C105" s="38" t="s">
        <v>223</v>
      </c>
      <c r="D105" s="48">
        <v>478.942879</v>
      </c>
      <c r="E105" s="92">
        <f t="shared" si="1"/>
        <v>0</v>
      </c>
      <c r="F105" s="12" t="s">
        <v>3</v>
      </c>
      <c r="G105" s="12" t="s">
        <v>3</v>
      </c>
      <c r="H105" s="12" t="s">
        <v>3</v>
      </c>
      <c r="I105" s="11" t="s">
        <v>3</v>
      </c>
      <c r="J105" s="11" t="s">
        <v>3</v>
      </c>
      <c r="K105" s="114" t="s">
        <v>3</v>
      </c>
      <c r="L105" s="5" t="s">
        <v>3</v>
      </c>
      <c r="M105" s="5" t="s">
        <v>3</v>
      </c>
      <c r="N105" s="5" t="s">
        <v>3</v>
      </c>
      <c r="O105" s="5" t="s">
        <v>3</v>
      </c>
      <c r="P105" s="5" t="s">
        <v>3</v>
      </c>
      <c r="Q105" s="5" t="s">
        <v>3</v>
      </c>
      <c r="R105" s="5" t="s">
        <v>3</v>
      </c>
      <c r="S105" s="5" t="s">
        <v>3</v>
      </c>
      <c r="T105" s="5" t="s">
        <v>3</v>
      </c>
      <c r="U105" s="5" t="s">
        <v>3</v>
      </c>
      <c r="V105" s="5" t="s">
        <v>3</v>
      </c>
      <c r="W105" s="13" t="s">
        <v>3</v>
      </c>
      <c r="X105" s="13" t="s">
        <v>3</v>
      </c>
      <c r="Y105" s="13" t="s">
        <v>3</v>
      </c>
      <c r="Z105" s="40" t="s">
        <v>3</v>
      </c>
      <c r="AA105" s="6" t="s">
        <v>3</v>
      </c>
      <c r="AB105" s="6" t="s">
        <v>3</v>
      </c>
      <c r="AC105" s="8" t="s">
        <v>3</v>
      </c>
      <c r="AD105" s="8" t="s">
        <v>3</v>
      </c>
      <c r="AE105" s="3" t="s">
        <v>3</v>
      </c>
      <c r="AF105" s="3" t="s">
        <v>3</v>
      </c>
      <c r="AG105" s="3" t="s">
        <v>3</v>
      </c>
      <c r="AH105" s="3" t="s">
        <v>3</v>
      </c>
      <c r="AI105" s="1" t="s">
        <v>3</v>
      </c>
      <c r="AJ105" s="1" t="s">
        <v>3</v>
      </c>
      <c r="AK105" s="1" t="s">
        <v>3</v>
      </c>
      <c r="AL105" s="1" t="s">
        <v>3</v>
      </c>
      <c r="AM105" s="1" t="s">
        <v>3</v>
      </c>
      <c r="AN105" s="64" t="s">
        <v>3</v>
      </c>
      <c r="AO105" s="64" t="s">
        <v>3</v>
      </c>
      <c r="AP105" s="64" t="s">
        <v>3</v>
      </c>
      <c r="AQ105" s="64" t="s">
        <v>3</v>
      </c>
      <c r="AR105" s="64" t="s">
        <v>3</v>
      </c>
      <c r="AS105" s="42" t="s">
        <v>3</v>
      </c>
      <c r="AT105" s="42" t="s">
        <v>3</v>
      </c>
      <c r="AU105" s="42" t="s">
        <v>3</v>
      </c>
      <c r="AV105" s="42" t="s">
        <v>3</v>
      </c>
      <c r="AW105" s="53" t="s">
        <v>3</v>
      </c>
      <c r="AX105" s="53" t="s">
        <v>3</v>
      </c>
      <c r="AY105" s="57" t="s">
        <v>3</v>
      </c>
      <c r="AZ105" s="57" t="s">
        <v>3</v>
      </c>
      <c r="BA105" s="121" t="s">
        <v>3</v>
      </c>
      <c r="BB105" s="4" t="s">
        <v>3</v>
      </c>
      <c r="BC105" s="38" t="s">
        <v>3</v>
      </c>
      <c r="BD105" s="3" t="s">
        <v>3</v>
      </c>
    </row>
    <row r="106" spans="1:56" ht="15" customHeight="1" x14ac:dyDescent="0.25">
      <c r="A106" s="38" t="s">
        <v>26</v>
      </c>
      <c r="B106" s="38" t="s">
        <v>139</v>
      </c>
      <c r="C106" s="38" t="s">
        <v>223</v>
      </c>
      <c r="D106" s="48">
        <v>476.92832600000003</v>
      </c>
      <c r="E106" s="92">
        <f t="shared" si="1"/>
        <v>8.3333333333333321</v>
      </c>
      <c r="F106" s="12" t="s">
        <v>564</v>
      </c>
      <c r="G106" s="12" t="s">
        <v>564</v>
      </c>
      <c r="H106" s="12" t="s">
        <v>564</v>
      </c>
      <c r="I106" s="11" t="s">
        <v>3</v>
      </c>
      <c r="J106" s="11" t="s">
        <v>3</v>
      </c>
      <c r="K106" s="114" t="s">
        <v>3</v>
      </c>
      <c r="L106" s="5" t="s">
        <v>3</v>
      </c>
      <c r="M106" s="5" t="s">
        <v>3</v>
      </c>
      <c r="N106" s="129">
        <v>2698</v>
      </c>
      <c r="O106" s="5" t="s">
        <v>3</v>
      </c>
      <c r="P106" s="129">
        <v>2348</v>
      </c>
      <c r="Q106" s="5" t="s">
        <v>3</v>
      </c>
      <c r="R106" s="5" t="s">
        <v>3</v>
      </c>
      <c r="S106" s="129">
        <v>5070</v>
      </c>
      <c r="T106" s="5" t="s">
        <v>3</v>
      </c>
      <c r="U106" s="5" t="s">
        <v>3</v>
      </c>
      <c r="V106" s="129">
        <v>2593</v>
      </c>
      <c r="W106" s="14" t="s">
        <v>564</v>
      </c>
      <c r="X106" s="14" t="s">
        <v>564</v>
      </c>
      <c r="Y106" s="14" t="s">
        <v>564</v>
      </c>
      <c r="Z106" s="40" t="s">
        <v>3</v>
      </c>
      <c r="AA106" s="6" t="s">
        <v>3</v>
      </c>
      <c r="AB106" s="6" t="s">
        <v>3</v>
      </c>
      <c r="AC106" s="8" t="s">
        <v>3</v>
      </c>
      <c r="AD106" s="8" t="s">
        <v>3</v>
      </c>
      <c r="AE106" s="3" t="s">
        <v>3</v>
      </c>
      <c r="AF106" s="3" t="s">
        <v>3</v>
      </c>
      <c r="AG106" s="3" t="s">
        <v>3</v>
      </c>
      <c r="AH106" s="3" t="s">
        <v>3</v>
      </c>
      <c r="AI106" s="1" t="s">
        <v>3</v>
      </c>
      <c r="AJ106" s="1" t="s">
        <v>564</v>
      </c>
      <c r="AK106" s="1" t="s">
        <v>3</v>
      </c>
      <c r="AL106" s="1" t="s">
        <v>3</v>
      </c>
      <c r="AM106" s="1" t="s">
        <v>564</v>
      </c>
      <c r="AN106" s="64" t="s">
        <v>564</v>
      </c>
      <c r="AO106" s="64" t="s">
        <v>564</v>
      </c>
      <c r="AP106" s="64" t="s">
        <v>564</v>
      </c>
      <c r="AQ106" s="64" t="s">
        <v>564</v>
      </c>
      <c r="AR106" s="64" t="s">
        <v>564</v>
      </c>
      <c r="AS106" s="42" t="s">
        <v>3</v>
      </c>
      <c r="AT106" s="42" t="s">
        <v>3</v>
      </c>
      <c r="AU106" s="42" t="s">
        <v>3</v>
      </c>
      <c r="AV106" s="42" t="s">
        <v>3</v>
      </c>
      <c r="AW106" s="53" t="s">
        <v>3</v>
      </c>
      <c r="AX106" s="53" t="s">
        <v>3</v>
      </c>
      <c r="AY106" s="57" t="s">
        <v>3</v>
      </c>
      <c r="AZ106" s="57" t="s">
        <v>3</v>
      </c>
      <c r="BA106" s="121" t="s">
        <v>3</v>
      </c>
      <c r="BB106" s="4" t="s">
        <v>3</v>
      </c>
      <c r="BC106" s="38" t="s">
        <v>3</v>
      </c>
      <c r="BD106" s="3" t="s">
        <v>3</v>
      </c>
    </row>
    <row r="107" spans="1:56" ht="15" customHeight="1" x14ac:dyDescent="0.25">
      <c r="A107" s="38" t="s">
        <v>118</v>
      </c>
      <c r="B107" s="38" t="s">
        <v>138</v>
      </c>
      <c r="C107" s="38" t="s">
        <v>224</v>
      </c>
      <c r="D107" s="48">
        <v>325.17106799999999</v>
      </c>
      <c r="E107" s="92">
        <f t="shared" si="1"/>
        <v>54.166666666666664</v>
      </c>
      <c r="F107" s="12" t="s">
        <v>3</v>
      </c>
      <c r="G107" s="12" t="s">
        <v>3</v>
      </c>
      <c r="H107" s="12" t="s">
        <v>3</v>
      </c>
      <c r="I107" s="11" t="s">
        <v>3</v>
      </c>
      <c r="J107" s="11" t="s">
        <v>3</v>
      </c>
      <c r="K107" s="128">
        <v>78474</v>
      </c>
      <c r="L107" s="5" t="s">
        <v>3</v>
      </c>
      <c r="M107" s="5">
        <v>871361</v>
      </c>
      <c r="N107" s="5">
        <v>1262441</v>
      </c>
      <c r="O107" s="5">
        <v>928736</v>
      </c>
      <c r="P107" s="5">
        <v>572387</v>
      </c>
      <c r="Q107" s="5">
        <v>807387</v>
      </c>
      <c r="R107" s="5">
        <v>541416</v>
      </c>
      <c r="S107" s="5">
        <v>800678</v>
      </c>
      <c r="T107" s="5">
        <v>412366</v>
      </c>
      <c r="U107" s="5">
        <v>566246</v>
      </c>
      <c r="V107" s="5">
        <v>933880</v>
      </c>
      <c r="W107" s="13">
        <v>2452194</v>
      </c>
      <c r="X107" s="13">
        <v>3370302</v>
      </c>
      <c r="Y107" s="13">
        <v>282484</v>
      </c>
      <c r="Z107" s="40" t="s">
        <v>3</v>
      </c>
      <c r="AA107" s="6">
        <v>8964321</v>
      </c>
      <c r="AB107" s="6" t="s">
        <v>3</v>
      </c>
      <c r="AC107" s="8" t="s">
        <v>3</v>
      </c>
      <c r="AD107" s="8" t="s">
        <v>3</v>
      </c>
      <c r="AE107" s="3">
        <v>16700</v>
      </c>
      <c r="AF107" s="3">
        <v>29000</v>
      </c>
      <c r="AG107" s="3">
        <v>16384</v>
      </c>
      <c r="AH107" s="3">
        <v>9792</v>
      </c>
      <c r="AI107" s="1" t="s">
        <v>3</v>
      </c>
      <c r="AJ107" s="2">
        <v>50613</v>
      </c>
      <c r="AK107" s="2">
        <v>69691</v>
      </c>
      <c r="AL107" s="2">
        <v>694348</v>
      </c>
      <c r="AM107" s="2" t="s">
        <v>3</v>
      </c>
      <c r="AN107" s="64" t="s">
        <v>3</v>
      </c>
      <c r="AO107" s="64" t="s">
        <v>3</v>
      </c>
      <c r="AP107" s="64" t="s">
        <v>3</v>
      </c>
      <c r="AQ107" s="64" t="s">
        <v>3</v>
      </c>
      <c r="AR107" s="64" t="s">
        <v>3</v>
      </c>
      <c r="AS107" s="42">
        <v>13394</v>
      </c>
      <c r="AT107" s="42">
        <v>46404</v>
      </c>
      <c r="AU107" s="42">
        <v>43542</v>
      </c>
      <c r="AV107" s="42">
        <v>27898</v>
      </c>
      <c r="AW107" s="53" t="s">
        <v>3</v>
      </c>
      <c r="AX107" s="53" t="s">
        <v>3</v>
      </c>
      <c r="AY107" s="57" t="s">
        <v>3</v>
      </c>
      <c r="AZ107" s="57" t="s">
        <v>3</v>
      </c>
      <c r="BA107" s="121">
        <v>737215</v>
      </c>
      <c r="BB107" s="4" t="s">
        <v>3</v>
      </c>
      <c r="BC107" s="38" t="s">
        <v>137</v>
      </c>
      <c r="BD107" s="3" t="s">
        <v>3</v>
      </c>
    </row>
    <row r="108" spans="1:56" ht="15" customHeight="1" x14ac:dyDescent="0.25">
      <c r="A108" s="38" t="s">
        <v>108</v>
      </c>
      <c r="B108" s="38" t="s">
        <v>138</v>
      </c>
      <c r="C108" s="38" t="s">
        <v>225</v>
      </c>
      <c r="D108" s="48">
        <v>343.18163299999998</v>
      </c>
      <c r="E108" s="92">
        <f t="shared" si="1"/>
        <v>0</v>
      </c>
      <c r="F108" s="12" t="s">
        <v>3</v>
      </c>
      <c r="G108" s="12" t="s">
        <v>3</v>
      </c>
      <c r="H108" s="12" t="s">
        <v>3</v>
      </c>
      <c r="I108" s="11" t="s">
        <v>3</v>
      </c>
      <c r="J108" s="11" t="s">
        <v>3</v>
      </c>
      <c r="K108" s="114" t="s">
        <v>3</v>
      </c>
      <c r="L108" s="5" t="s">
        <v>3</v>
      </c>
      <c r="M108" s="5" t="s">
        <v>3</v>
      </c>
      <c r="N108" s="5" t="s">
        <v>3</v>
      </c>
      <c r="O108" s="5" t="s">
        <v>3</v>
      </c>
      <c r="P108" s="5" t="s">
        <v>3</v>
      </c>
      <c r="Q108" s="5" t="s">
        <v>3</v>
      </c>
      <c r="R108" s="5" t="s">
        <v>3</v>
      </c>
      <c r="S108" s="5" t="s">
        <v>3</v>
      </c>
      <c r="T108" s="5" t="s">
        <v>3</v>
      </c>
      <c r="U108" s="5" t="s">
        <v>3</v>
      </c>
      <c r="V108" s="5" t="s">
        <v>3</v>
      </c>
      <c r="W108" s="13" t="s">
        <v>3</v>
      </c>
      <c r="X108" s="13" t="s">
        <v>3</v>
      </c>
      <c r="Y108" s="13" t="s">
        <v>3</v>
      </c>
      <c r="Z108" s="40" t="s">
        <v>3</v>
      </c>
      <c r="AA108" s="6" t="s">
        <v>3</v>
      </c>
      <c r="AB108" s="6" t="s">
        <v>3</v>
      </c>
      <c r="AC108" s="8" t="s">
        <v>3</v>
      </c>
      <c r="AD108" s="8" t="s">
        <v>3</v>
      </c>
      <c r="AE108" s="3" t="s">
        <v>3</v>
      </c>
      <c r="AF108" s="3" t="s">
        <v>3</v>
      </c>
      <c r="AG108" s="3" t="s">
        <v>3</v>
      </c>
      <c r="AH108" s="3" t="s">
        <v>3</v>
      </c>
      <c r="AI108" s="1" t="s">
        <v>3</v>
      </c>
      <c r="AJ108" s="1" t="s">
        <v>3</v>
      </c>
      <c r="AK108" s="1" t="s">
        <v>3</v>
      </c>
      <c r="AL108" s="1" t="s">
        <v>3</v>
      </c>
      <c r="AM108" s="1" t="s">
        <v>3</v>
      </c>
      <c r="AN108" s="64" t="s">
        <v>3</v>
      </c>
      <c r="AO108" s="64" t="s">
        <v>3</v>
      </c>
      <c r="AP108" s="64" t="s">
        <v>3</v>
      </c>
      <c r="AQ108" s="64" t="s">
        <v>3</v>
      </c>
      <c r="AR108" s="64" t="s">
        <v>3</v>
      </c>
      <c r="AS108" s="42" t="s">
        <v>3</v>
      </c>
      <c r="AT108" s="42" t="s">
        <v>3</v>
      </c>
      <c r="AU108" s="42" t="s">
        <v>3</v>
      </c>
      <c r="AV108" s="42" t="s">
        <v>3</v>
      </c>
      <c r="AW108" s="53" t="s">
        <v>3</v>
      </c>
      <c r="AX108" s="53" t="s">
        <v>3</v>
      </c>
      <c r="AY108" s="57" t="s">
        <v>3</v>
      </c>
      <c r="AZ108" s="57" t="s">
        <v>3</v>
      </c>
      <c r="BA108" s="121" t="s">
        <v>3</v>
      </c>
      <c r="BB108" s="4" t="s">
        <v>3</v>
      </c>
      <c r="BC108" s="38" t="s">
        <v>3</v>
      </c>
      <c r="BD108" s="3" t="s">
        <v>3</v>
      </c>
    </row>
    <row r="109" spans="1:56" ht="15" customHeight="1" x14ac:dyDescent="0.25">
      <c r="A109" s="38" t="s">
        <v>109</v>
      </c>
      <c r="B109" s="38" t="s">
        <v>138</v>
      </c>
      <c r="C109" s="38" t="s">
        <v>226</v>
      </c>
      <c r="D109" s="48">
        <v>345.173473</v>
      </c>
      <c r="E109" s="92">
        <f t="shared" si="1"/>
        <v>4.1666666666666661</v>
      </c>
      <c r="F109" s="12" t="s">
        <v>3</v>
      </c>
      <c r="G109" s="12" t="s">
        <v>3</v>
      </c>
      <c r="H109" s="12" t="s">
        <v>3</v>
      </c>
      <c r="I109" s="11" t="s">
        <v>3</v>
      </c>
      <c r="J109" s="11" t="s">
        <v>3</v>
      </c>
      <c r="K109" s="114" t="s">
        <v>3</v>
      </c>
      <c r="L109" s="5" t="s">
        <v>3</v>
      </c>
      <c r="M109" s="5" t="s">
        <v>3</v>
      </c>
      <c r="N109" s="5" t="s">
        <v>3</v>
      </c>
      <c r="O109" s="5" t="s">
        <v>3</v>
      </c>
      <c r="P109" s="5" t="s">
        <v>3</v>
      </c>
      <c r="Q109" s="5" t="s">
        <v>3</v>
      </c>
      <c r="R109" s="5" t="s">
        <v>3</v>
      </c>
      <c r="S109" s="5" t="s">
        <v>3</v>
      </c>
      <c r="T109" s="5" t="s">
        <v>3</v>
      </c>
      <c r="U109" s="5" t="s">
        <v>3</v>
      </c>
      <c r="V109" s="5" t="s">
        <v>3</v>
      </c>
      <c r="W109" s="13" t="s">
        <v>3</v>
      </c>
      <c r="X109" s="13" t="s">
        <v>3</v>
      </c>
      <c r="Y109" s="13" t="s">
        <v>3</v>
      </c>
      <c r="Z109" s="40" t="s">
        <v>3</v>
      </c>
      <c r="AA109" s="6" t="s">
        <v>3</v>
      </c>
      <c r="AB109" s="6" t="s">
        <v>3</v>
      </c>
      <c r="AC109" s="8" t="s">
        <v>3</v>
      </c>
      <c r="AD109" s="8" t="s">
        <v>3</v>
      </c>
      <c r="AE109" s="3" t="s">
        <v>3</v>
      </c>
      <c r="AF109" s="3" t="s">
        <v>3</v>
      </c>
      <c r="AG109" s="3" t="s">
        <v>3</v>
      </c>
      <c r="AH109" s="3" t="s">
        <v>3</v>
      </c>
      <c r="AI109" s="1" t="s">
        <v>3</v>
      </c>
      <c r="AJ109" s="2">
        <v>7900</v>
      </c>
      <c r="AK109" s="1" t="s">
        <v>3</v>
      </c>
      <c r="AL109" s="2">
        <v>6567</v>
      </c>
      <c r="AM109" s="1" t="s">
        <v>3</v>
      </c>
      <c r="AN109" s="64" t="s">
        <v>3</v>
      </c>
      <c r="AO109" s="64" t="s">
        <v>3</v>
      </c>
      <c r="AP109" s="64" t="s">
        <v>3</v>
      </c>
      <c r="AQ109" s="64" t="s">
        <v>3</v>
      </c>
      <c r="AR109" s="64" t="s">
        <v>3</v>
      </c>
      <c r="AS109" s="42" t="s">
        <v>3</v>
      </c>
      <c r="AT109" s="42" t="s">
        <v>3</v>
      </c>
      <c r="AU109" s="42" t="s">
        <v>3</v>
      </c>
      <c r="AV109" s="42" t="s">
        <v>3</v>
      </c>
      <c r="AW109" s="53" t="s">
        <v>3</v>
      </c>
      <c r="AX109" s="53" t="s">
        <v>3</v>
      </c>
      <c r="AY109" s="57" t="s">
        <v>3</v>
      </c>
      <c r="AZ109" s="57" t="s">
        <v>3</v>
      </c>
      <c r="BA109" s="121" t="s">
        <v>3</v>
      </c>
      <c r="BB109" s="4" t="s">
        <v>3</v>
      </c>
      <c r="BC109" s="38" t="s">
        <v>3</v>
      </c>
      <c r="BD109" s="3" t="s">
        <v>3</v>
      </c>
    </row>
    <row r="110" spans="1:56" ht="15" customHeight="1" x14ac:dyDescent="0.25">
      <c r="A110" s="38" t="s">
        <v>110</v>
      </c>
      <c r="B110" s="38" t="s">
        <v>138</v>
      </c>
      <c r="C110" s="38" t="s">
        <v>227</v>
      </c>
      <c r="D110" s="48">
        <v>341.16598299999998</v>
      </c>
      <c r="E110" s="92">
        <f t="shared" si="1"/>
        <v>37.5</v>
      </c>
      <c r="F110" s="12" t="s">
        <v>3</v>
      </c>
      <c r="G110" s="12" t="s">
        <v>3</v>
      </c>
      <c r="H110" s="12" t="s">
        <v>3</v>
      </c>
      <c r="I110" s="11" t="s">
        <v>3</v>
      </c>
      <c r="J110" s="11" t="s">
        <v>3</v>
      </c>
      <c r="K110" s="114" t="s">
        <v>3</v>
      </c>
      <c r="L110" s="5" t="s">
        <v>3</v>
      </c>
      <c r="M110" s="5">
        <v>162794</v>
      </c>
      <c r="N110" s="5">
        <v>179196</v>
      </c>
      <c r="O110" s="5">
        <v>56335</v>
      </c>
      <c r="P110" s="5">
        <v>69911</v>
      </c>
      <c r="Q110" s="5">
        <v>55701</v>
      </c>
      <c r="R110" s="5">
        <v>63755</v>
      </c>
      <c r="S110" s="5">
        <v>107421</v>
      </c>
      <c r="T110" s="5">
        <v>37054</v>
      </c>
      <c r="U110" s="5">
        <v>134202</v>
      </c>
      <c r="V110" s="5">
        <v>66402</v>
      </c>
      <c r="W110" s="13">
        <v>1726587</v>
      </c>
      <c r="X110" s="13">
        <v>963841</v>
      </c>
      <c r="Y110" s="13" t="s">
        <v>3</v>
      </c>
      <c r="Z110" s="40">
        <v>11296675</v>
      </c>
      <c r="AA110" s="6">
        <v>4023846</v>
      </c>
      <c r="AB110" s="6" t="s">
        <v>3</v>
      </c>
      <c r="AC110" s="8" t="s">
        <v>3</v>
      </c>
      <c r="AD110" s="8" t="s">
        <v>3</v>
      </c>
      <c r="AE110" s="3" t="s">
        <v>3</v>
      </c>
      <c r="AF110" s="3">
        <v>2216</v>
      </c>
      <c r="AG110" s="3" t="s">
        <v>3</v>
      </c>
      <c r="AH110" s="3" t="s">
        <v>3</v>
      </c>
      <c r="AI110" s="1" t="s">
        <v>3</v>
      </c>
      <c r="AJ110" s="1" t="s">
        <v>3</v>
      </c>
      <c r="AK110" s="1" t="s">
        <v>3</v>
      </c>
      <c r="AL110" s="1" t="s">
        <v>3</v>
      </c>
      <c r="AM110" s="2" t="s">
        <v>3</v>
      </c>
      <c r="AN110" s="67">
        <v>28837</v>
      </c>
      <c r="AO110" s="67">
        <v>11792</v>
      </c>
      <c r="AP110" s="64" t="s">
        <v>3</v>
      </c>
      <c r="AQ110" s="64" t="s">
        <v>3</v>
      </c>
      <c r="AR110" s="64" t="s">
        <v>3</v>
      </c>
      <c r="AS110" s="42" t="s">
        <v>3</v>
      </c>
      <c r="AT110" s="42" t="s">
        <v>3</v>
      </c>
      <c r="AU110" s="42" t="s">
        <v>3</v>
      </c>
      <c r="AV110" s="42" t="s">
        <v>3</v>
      </c>
      <c r="AW110" s="53" t="s">
        <v>3</v>
      </c>
      <c r="AX110" s="53" t="s">
        <v>3</v>
      </c>
      <c r="AY110" s="57" t="s">
        <v>3</v>
      </c>
      <c r="AZ110" s="57">
        <v>119865</v>
      </c>
      <c r="BA110" s="121" t="s">
        <v>3</v>
      </c>
      <c r="BB110" s="4" t="s">
        <v>3</v>
      </c>
      <c r="BC110" s="38" t="s">
        <v>3</v>
      </c>
      <c r="BD110" s="3" t="s">
        <v>3</v>
      </c>
    </row>
    <row r="111" spans="1:56" ht="15" customHeight="1" x14ac:dyDescent="0.25">
      <c r="A111" s="38" t="s">
        <v>111</v>
      </c>
      <c r="B111" s="38" t="s">
        <v>138</v>
      </c>
      <c r="C111" s="38" t="s">
        <v>228</v>
      </c>
      <c r="D111" s="48">
        <v>312.16324300000002</v>
      </c>
      <c r="E111" s="92">
        <f t="shared" si="1"/>
        <v>31.25</v>
      </c>
      <c r="F111" s="12" t="s">
        <v>3</v>
      </c>
      <c r="G111" s="12" t="s">
        <v>3</v>
      </c>
      <c r="H111" s="12" t="s">
        <v>3</v>
      </c>
      <c r="I111" s="11" t="s">
        <v>3</v>
      </c>
      <c r="J111" s="11" t="s">
        <v>3</v>
      </c>
      <c r="K111" s="114" t="s">
        <v>3</v>
      </c>
      <c r="L111" s="5" t="s">
        <v>3</v>
      </c>
      <c r="M111" s="129">
        <v>20253</v>
      </c>
      <c r="N111" s="129">
        <v>37877</v>
      </c>
      <c r="O111" s="129">
        <v>24392</v>
      </c>
      <c r="P111" s="129">
        <v>23604</v>
      </c>
      <c r="Q111" s="129">
        <v>22194</v>
      </c>
      <c r="R111" s="129">
        <v>11706</v>
      </c>
      <c r="S111" s="129">
        <v>12357</v>
      </c>
      <c r="T111" s="129">
        <v>14252</v>
      </c>
      <c r="U111" s="129">
        <v>24781</v>
      </c>
      <c r="V111" s="129">
        <v>20579</v>
      </c>
      <c r="W111" s="137">
        <v>388852</v>
      </c>
      <c r="X111" s="137">
        <v>377467</v>
      </c>
      <c r="Y111" s="13" t="s">
        <v>3</v>
      </c>
      <c r="Z111" s="40" t="s">
        <v>3</v>
      </c>
      <c r="AA111" s="132">
        <v>1012479</v>
      </c>
      <c r="AB111" s="6" t="s">
        <v>3</v>
      </c>
      <c r="AC111" s="131">
        <v>187125</v>
      </c>
      <c r="AD111" s="8" t="s">
        <v>3</v>
      </c>
      <c r="AE111" s="3" t="s">
        <v>3</v>
      </c>
      <c r="AF111" s="3" t="s">
        <v>3</v>
      </c>
      <c r="AG111" s="3" t="s">
        <v>3</v>
      </c>
      <c r="AH111" s="3" t="s">
        <v>3</v>
      </c>
      <c r="AI111" s="1" t="s">
        <v>3</v>
      </c>
      <c r="AJ111" s="1" t="s">
        <v>3</v>
      </c>
      <c r="AK111" s="1" t="s">
        <v>3</v>
      </c>
      <c r="AL111" s="1" t="s">
        <v>3</v>
      </c>
      <c r="AM111" s="1" t="s">
        <v>3</v>
      </c>
      <c r="AN111" s="67">
        <v>35797</v>
      </c>
      <c r="AO111" s="64" t="s">
        <v>3</v>
      </c>
      <c r="AP111" s="64" t="s">
        <v>3</v>
      </c>
      <c r="AQ111" s="64" t="s">
        <v>3</v>
      </c>
      <c r="AR111" s="64" t="s">
        <v>3</v>
      </c>
      <c r="AS111" s="42" t="s">
        <v>3</v>
      </c>
      <c r="AT111" s="42" t="s">
        <v>3</v>
      </c>
      <c r="AU111" s="42" t="s">
        <v>3</v>
      </c>
      <c r="AV111" s="42" t="s">
        <v>3</v>
      </c>
      <c r="AW111" s="53" t="s">
        <v>3</v>
      </c>
      <c r="AX111" s="53" t="s">
        <v>3</v>
      </c>
      <c r="AY111" s="57" t="s">
        <v>3</v>
      </c>
      <c r="AZ111" s="57" t="s">
        <v>3</v>
      </c>
      <c r="BA111" s="121" t="s">
        <v>3</v>
      </c>
      <c r="BB111" s="4" t="s">
        <v>3</v>
      </c>
      <c r="BC111" s="38" t="s">
        <v>3</v>
      </c>
      <c r="BD111" s="3" t="s">
        <v>3</v>
      </c>
    </row>
    <row r="112" spans="1:56" ht="15" customHeight="1" x14ac:dyDescent="0.25">
      <c r="A112" s="38" t="s">
        <v>112</v>
      </c>
      <c r="B112" s="38" t="s">
        <v>138</v>
      </c>
      <c r="C112" s="38" t="s">
        <v>229</v>
      </c>
      <c r="D112" s="48">
        <v>339.15033299999999</v>
      </c>
      <c r="E112" s="92">
        <f t="shared" si="1"/>
        <v>27.083333333333332</v>
      </c>
      <c r="F112" s="12" t="s">
        <v>3</v>
      </c>
      <c r="G112" s="12" t="s">
        <v>3</v>
      </c>
      <c r="H112" s="12" t="s">
        <v>3</v>
      </c>
      <c r="I112" s="11" t="s">
        <v>3</v>
      </c>
      <c r="J112" s="11" t="s">
        <v>3</v>
      </c>
      <c r="K112" s="114" t="s">
        <v>3</v>
      </c>
      <c r="L112" s="5" t="s">
        <v>3</v>
      </c>
      <c r="M112" s="129">
        <v>24409</v>
      </c>
      <c r="N112" s="129">
        <v>41002</v>
      </c>
      <c r="O112" s="129">
        <v>12056</v>
      </c>
      <c r="P112" s="129">
        <v>14891</v>
      </c>
      <c r="Q112" s="129">
        <v>13029</v>
      </c>
      <c r="R112" s="129">
        <v>8054</v>
      </c>
      <c r="S112" s="129">
        <v>12771</v>
      </c>
      <c r="T112" s="5" t="s">
        <v>3</v>
      </c>
      <c r="U112" s="129">
        <v>17368</v>
      </c>
      <c r="V112" s="129">
        <v>15896</v>
      </c>
      <c r="W112" s="13" t="s">
        <v>3</v>
      </c>
      <c r="X112" s="13" t="s">
        <v>3</v>
      </c>
      <c r="Y112" s="13" t="s">
        <v>3</v>
      </c>
      <c r="Z112" s="40" t="s">
        <v>3</v>
      </c>
      <c r="AA112" s="6" t="s">
        <v>3</v>
      </c>
      <c r="AB112" s="6" t="s">
        <v>3</v>
      </c>
      <c r="AC112" s="8" t="s">
        <v>3</v>
      </c>
      <c r="AD112" s="8" t="s">
        <v>3</v>
      </c>
      <c r="AE112" s="3">
        <v>1336</v>
      </c>
      <c r="AF112" s="3">
        <v>2488</v>
      </c>
      <c r="AG112" s="3" t="s">
        <v>3</v>
      </c>
      <c r="AH112" s="3" t="s">
        <v>3</v>
      </c>
      <c r="AI112" s="1" t="s">
        <v>3</v>
      </c>
      <c r="AJ112" s="1" t="s">
        <v>3</v>
      </c>
      <c r="AK112" s="1" t="s">
        <v>3</v>
      </c>
      <c r="AL112" s="2">
        <v>25358</v>
      </c>
      <c r="AM112" s="2" t="s">
        <v>3</v>
      </c>
      <c r="AN112" s="64" t="s">
        <v>3</v>
      </c>
      <c r="AO112" s="64" t="s">
        <v>3</v>
      </c>
      <c r="AP112" s="64" t="s">
        <v>3</v>
      </c>
      <c r="AQ112" s="64" t="s">
        <v>3</v>
      </c>
      <c r="AR112" s="64" t="s">
        <v>3</v>
      </c>
      <c r="AS112" s="42" t="s">
        <v>3</v>
      </c>
      <c r="AT112" s="42" t="s">
        <v>3</v>
      </c>
      <c r="AU112" s="42" t="s">
        <v>3</v>
      </c>
      <c r="AV112" s="42" t="s">
        <v>3</v>
      </c>
      <c r="AW112" s="53" t="s">
        <v>3</v>
      </c>
      <c r="AX112" s="53" t="s">
        <v>3</v>
      </c>
      <c r="AY112" s="57" t="s">
        <v>3</v>
      </c>
      <c r="AZ112" s="57" t="s">
        <v>3</v>
      </c>
      <c r="BA112" s="121">
        <v>134923</v>
      </c>
      <c r="BB112" s="4" t="s">
        <v>3</v>
      </c>
      <c r="BC112" s="38" t="s">
        <v>3</v>
      </c>
      <c r="BD112" s="3" t="s">
        <v>3</v>
      </c>
    </row>
    <row r="113" spans="1:56" ht="15" customHeight="1" x14ac:dyDescent="0.25">
      <c r="A113" s="38" t="s">
        <v>113</v>
      </c>
      <c r="B113" s="38" t="s">
        <v>138</v>
      </c>
      <c r="C113" s="38" t="s">
        <v>230</v>
      </c>
      <c r="D113" s="48">
        <v>267.17031900000001</v>
      </c>
      <c r="E113" s="92">
        <f t="shared" si="1"/>
        <v>47.916666666666671</v>
      </c>
      <c r="F113" s="126">
        <v>1973308</v>
      </c>
      <c r="G113" s="126">
        <v>5457981</v>
      </c>
      <c r="H113" s="12">
        <v>16120</v>
      </c>
      <c r="I113" s="11" t="s">
        <v>3</v>
      </c>
      <c r="J113" s="11" t="s">
        <v>3</v>
      </c>
      <c r="K113" s="114" t="s">
        <v>3</v>
      </c>
      <c r="L113" s="5" t="s">
        <v>3</v>
      </c>
      <c r="M113" s="5">
        <v>2618857</v>
      </c>
      <c r="N113" s="5">
        <v>2899671</v>
      </c>
      <c r="O113" s="5">
        <v>5309578</v>
      </c>
      <c r="P113" s="5">
        <v>2572080</v>
      </c>
      <c r="Q113" s="5">
        <v>3712054</v>
      </c>
      <c r="R113" s="5">
        <v>2779593</v>
      </c>
      <c r="S113" s="5">
        <v>3077656</v>
      </c>
      <c r="T113" s="5">
        <v>3130201</v>
      </c>
      <c r="U113" s="5">
        <v>2349674</v>
      </c>
      <c r="V113" s="5">
        <v>3925500</v>
      </c>
      <c r="W113" s="13">
        <v>5035503</v>
      </c>
      <c r="X113" s="13">
        <v>6033592</v>
      </c>
      <c r="Y113" s="13" t="s">
        <v>3</v>
      </c>
      <c r="Z113" s="40" t="s">
        <v>3</v>
      </c>
      <c r="AA113" s="6">
        <v>31039176</v>
      </c>
      <c r="AB113" s="6" t="s">
        <v>3</v>
      </c>
      <c r="AC113" s="8" t="s">
        <v>3</v>
      </c>
      <c r="AD113" s="8" t="s">
        <v>3</v>
      </c>
      <c r="AE113" s="3">
        <v>62740</v>
      </c>
      <c r="AF113" s="3">
        <v>53932</v>
      </c>
      <c r="AG113" s="3" t="s">
        <v>3</v>
      </c>
      <c r="AH113" s="3" t="s">
        <v>3</v>
      </c>
      <c r="AI113" s="1" t="s">
        <v>3</v>
      </c>
      <c r="AJ113" s="2">
        <v>460744</v>
      </c>
      <c r="AK113" s="2">
        <v>970508</v>
      </c>
      <c r="AL113" s="2">
        <v>180558</v>
      </c>
      <c r="AM113" s="2" t="s">
        <v>3</v>
      </c>
      <c r="AN113" s="64" t="s">
        <v>3</v>
      </c>
      <c r="AO113" s="64" t="s">
        <v>3</v>
      </c>
      <c r="AP113" s="64" t="s">
        <v>3</v>
      </c>
      <c r="AQ113" s="64" t="s">
        <v>3</v>
      </c>
      <c r="AR113" s="64" t="s">
        <v>3</v>
      </c>
      <c r="AS113" s="42" t="s">
        <v>3</v>
      </c>
      <c r="AT113" s="130">
        <v>3252</v>
      </c>
      <c r="AU113" s="42" t="s">
        <v>3</v>
      </c>
      <c r="AV113" s="130">
        <v>2632</v>
      </c>
      <c r="AW113" s="53" t="s">
        <v>3</v>
      </c>
      <c r="AX113" s="53" t="s">
        <v>3</v>
      </c>
      <c r="AY113" s="57">
        <v>384072</v>
      </c>
      <c r="AZ113" s="57">
        <v>174368</v>
      </c>
      <c r="BA113" s="121">
        <v>787757</v>
      </c>
      <c r="BB113" s="4" t="s">
        <v>3</v>
      </c>
      <c r="BC113" s="38" t="s">
        <v>137</v>
      </c>
      <c r="BD113" s="3" t="s">
        <v>3</v>
      </c>
    </row>
    <row r="114" spans="1:56" ht="15" customHeight="1" x14ac:dyDescent="0.25">
      <c r="A114" s="38" t="s">
        <v>121</v>
      </c>
      <c r="B114" s="38" t="s">
        <v>138</v>
      </c>
      <c r="C114" s="38" t="s">
        <v>231</v>
      </c>
      <c r="D114" s="48">
        <v>268.19072</v>
      </c>
      <c r="E114" s="92">
        <f t="shared" si="1"/>
        <v>56.25</v>
      </c>
      <c r="F114" s="12" t="s">
        <v>3</v>
      </c>
      <c r="G114" s="12" t="s">
        <v>3</v>
      </c>
      <c r="H114" s="12" t="s">
        <v>3</v>
      </c>
      <c r="I114" s="11" t="s">
        <v>3</v>
      </c>
      <c r="J114" s="11" t="s">
        <v>3</v>
      </c>
      <c r="K114" s="128">
        <v>84113</v>
      </c>
      <c r="L114" s="5" t="s">
        <v>3</v>
      </c>
      <c r="M114" s="5">
        <v>2368757</v>
      </c>
      <c r="N114" s="5">
        <v>4729098</v>
      </c>
      <c r="O114" s="5">
        <v>3396697</v>
      </c>
      <c r="P114" s="5">
        <v>1167489</v>
      </c>
      <c r="Q114" s="5">
        <v>5505478</v>
      </c>
      <c r="R114" s="5">
        <v>2421974</v>
      </c>
      <c r="S114" s="5">
        <v>2779262</v>
      </c>
      <c r="T114" s="5">
        <v>1951425</v>
      </c>
      <c r="U114" s="5">
        <v>5638584</v>
      </c>
      <c r="V114" s="5">
        <v>3325455</v>
      </c>
      <c r="W114" s="13">
        <v>24533676</v>
      </c>
      <c r="X114" s="13">
        <v>48456560</v>
      </c>
      <c r="Y114" s="13" t="s">
        <v>3</v>
      </c>
      <c r="Z114" s="40">
        <v>6730300</v>
      </c>
      <c r="AA114" s="6">
        <v>50863872</v>
      </c>
      <c r="AB114" s="6" t="s">
        <v>3</v>
      </c>
      <c r="AC114" s="8">
        <v>1262538</v>
      </c>
      <c r="AD114" s="8" t="s">
        <v>3</v>
      </c>
      <c r="AE114" s="3">
        <v>44880</v>
      </c>
      <c r="AF114" s="3">
        <v>57528</v>
      </c>
      <c r="AG114" s="3">
        <v>1868</v>
      </c>
      <c r="AH114" s="3" t="s">
        <v>3</v>
      </c>
      <c r="AI114" s="1">
        <v>6345</v>
      </c>
      <c r="AJ114" s="2">
        <v>34524</v>
      </c>
      <c r="AK114" s="2">
        <v>55533</v>
      </c>
      <c r="AL114" s="2">
        <v>945282</v>
      </c>
      <c r="AM114" s="2" t="s">
        <v>3</v>
      </c>
      <c r="AN114" s="67">
        <v>10355</v>
      </c>
      <c r="AO114" s="64" t="s">
        <v>3</v>
      </c>
      <c r="AP114" s="64" t="s">
        <v>3</v>
      </c>
      <c r="AQ114" s="64" t="s">
        <v>3</v>
      </c>
      <c r="AR114" s="64" t="s">
        <v>3</v>
      </c>
      <c r="AS114" s="42" t="s">
        <v>3</v>
      </c>
      <c r="AT114" s="42">
        <v>60029</v>
      </c>
      <c r="AU114" s="42" t="s">
        <v>3</v>
      </c>
      <c r="AV114" s="42">
        <v>21033</v>
      </c>
      <c r="AW114" s="53" t="s">
        <v>3</v>
      </c>
      <c r="AX114" s="53" t="s">
        <v>3</v>
      </c>
      <c r="AY114" s="57" t="s">
        <v>3</v>
      </c>
      <c r="AZ114" s="57">
        <v>34545</v>
      </c>
      <c r="BA114" s="121">
        <v>1754823</v>
      </c>
      <c r="BB114" s="4" t="s">
        <v>3</v>
      </c>
      <c r="BC114" s="38" t="s">
        <v>137</v>
      </c>
      <c r="BD114" s="3">
        <v>5592</v>
      </c>
    </row>
    <row r="115" spans="1:56" ht="15" customHeight="1" x14ac:dyDescent="0.25">
      <c r="A115" s="38" t="s">
        <v>104</v>
      </c>
      <c r="B115" s="38" t="s">
        <v>138</v>
      </c>
      <c r="C115" s="38" t="s">
        <v>232</v>
      </c>
      <c r="D115" s="48">
        <v>268.154335</v>
      </c>
      <c r="E115" s="92">
        <f t="shared" si="1"/>
        <v>54.166666666666664</v>
      </c>
      <c r="F115" s="12" t="s">
        <v>3</v>
      </c>
      <c r="G115" s="12" t="s">
        <v>3</v>
      </c>
      <c r="H115" s="12" t="s">
        <v>3</v>
      </c>
      <c r="I115" s="11" t="s">
        <v>3</v>
      </c>
      <c r="J115" s="11" t="s">
        <v>3</v>
      </c>
      <c r="K115" s="114" t="s">
        <v>3</v>
      </c>
      <c r="L115" s="5" t="s">
        <v>3</v>
      </c>
      <c r="M115" s="5">
        <v>3717028</v>
      </c>
      <c r="N115" s="5">
        <v>1303491</v>
      </c>
      <c r="O115" s="5">
        <v>4846356</v>
      </c>
      <c r="P115" s="5">
        <v>2135373</v>
      </c>
      <c r="Q115" s="5">
        <v>3740484</v>
      </c>
      <c r="R115" s="5">
        <v>1163626</v>
      </c>
      <c r="S115" s="5">
        <v>6212155</v>
      </c>
      <c r="T115" s="5">
        <v>5671778</v>
      </c>
      <c r="U115" s="5">
        <v>6814448</v>
      </c>
      <c r="V115" s="5">
        <v>2718796</v>
      </c>
      <c r="W115" s="13">
        <v>67001804</v>
      </c>
      <c r="X115" s="13">
        <v>82077608</v>
      </c>
      <c r="Y115" s="13" t="s">
        <v>3</v>
      </c>
      <c r="Z115" s="40">
        <v>28125192</v>
      </c>
      <c r="AA115" s="6">
        <v>68429848</v>
      </c>
      <c r="AB115" s="6" t="s">
        <v>3</v>
      </c>
      <c r="AC115" s="8">
        <v>4323003</v>
      </c>
      <c r="AD115" s="8" t="s">
        <v>3</v>
      </c>
      <c r="AE115" s="3">
        <v>77740</v>
      </c>
      <c r="AF115" s="3">
        <v>36960</v>
      </c>
      <c r="AG115" s="3">
        <v>1740</v>
      </c>
      <c r="AH115" s="3" t="s">
        <v>3</v>
      </c>
      <c r="AI115" s="1">
        <v>57521</v>
      </c>
      <c r="AJ115" s="2">
        <v>24798</v>
      </c>
      <c r="AK115" s="2">
        <v>72280</v>
      </c>
      <c r="AL115" s="2">
        <v>341162</v>
      </c>
      <c r="AM115" s="2" t="s">
        <v>3</v>
      </c>
      <c r="AN115" s="64" t="s">
        <v>3</v>
      </c>
      <c r="AO115" s="64" t="s">
        <v>3</v>
      </c>
      <c r="AP115" s="64" t="s">
        <v>3</v>
      </c>
      <c r="AQ115" s="64" t="s">
        <v>3</v>
      </c>
      <c r="AR115" s="64" t="s">
        <v>3</v>
      </c>
      <c r="AS115" s="42">
        <v>4172</v>
      </c>
      <c r="AT115" s="42">
        <v>38032</v>
      </c>
      <c r="AU115" s="42">
        <v>708</v>
      </c>
      <c r="AV115" s="42">
        <v>16655</v>
      </c>
      <c r="AW115" s="53" t="s">
        <v>3</v>
      </c>
      <c r="AX115" s="53" t="s">
        <v>3</v>
      </c>
      <c r="AY115" s="57" t="s">
        <v>3</v>
      </c>
      <c r="AZ115" s="57" t="s">
        <v>3</v>
      </c>
      <c r="BA115" s="121" t="s">
        <v>3</v>
      </c>
      <c r="BB115" s="4" t="s">
        <v>3</v>
      </c>
      <c r="BC115" s="38" t="s">
        <v>131</v>
      </c>
      <c r="BD115" s="3">
        <v>23056</v>
      </c>
    </row>
    <row r="116" spans="1:56" ht="15" customHeight="1" x14ac:dyDescent="0.25">
      <c r="A116" s="38" t="s">
        <v>114</v>
      </c>
      <c r="B116" s="38" t="s">
        <v>138</v>
      </c>
      <c r="C116" s="38" t="s">
        <v>233</v>
      </c>
      <c r="D116" s="48">
        <v>216.10104999999999</v>
      </c>
      <c r="E116" s="92">
        <f t="shared" si="1"/>
        <v>16.666666666666664</v>
      </c>
      <c r="F116" s="12" t="s">
        <v>3</v>
      </c>
      <c r="G116" s="12" t="s">
        <v>3</v>
      </c>
      <c r="H116" s="12" t="s">
        <v>3</v>
      </c>
      <c r="I116" s="11" t="s">
        <v>3</v>
      </c>
      <c r="J116" s="11" t="s">
        <v>3</v>
      </c>
      <c r="K116" s="114" t="s">
        <v>3</v>
      </c>
      <c r="L116" s="5" t="s">
        <v>3</v>
      </c>
      <c r="M116" s="5">
        <v>52331</v>
      </c>
      <c r="N116" s="5">
        <v>87429</v>
      </c>
      <c r="O116" s="5">
        <v>34484</v>
      </c>
      <c r="P116" s="5" t="s">
        <v>3</v>
      </c>
      <c r="Q116" s="5" t="s">
        <v>3</v>
      </c>
      <c r="R116" s="5" t="s">
        <v>3</v>
      </c>
      <c r="S116" s="5" t="s">
        <v>3</v>
      </c>
      <c r="T116" s="5" t="s">
        <v>3</v>
      </c>
      <c r="U116" s="5" t="s">
        <v>3</v>
      </c>
      <c r="V116" s="5" t="s">
        <v>3</v>
      </c>
      <c r="W116" s="13">
        <v>10347282</v>
      </c>
      <c r="X116" s="13">
        <v>6870453</v>
      </c>
      <c r="Y116" s="13" t="s">
        <v>3</v>
      </c>
      <c r="Z116" s="40">
        <v>12434760</v>
      </c>
      <c r="AA116" s="6">
        <v>86079424</v>
      </c>
      <c r="AB116" s="6" t="s">
        <v>3</v>
      </c>
      <c r="AC116" s="8">
        <v>1545090</v>
      </c>
      <c r="AD116" s="8" t="s">
        <v>3</v>
      </c>
      <c r="AE116" s="3" t="s">
        <v>3</v>
      </c>
      <c r="AF116" s="3" t="s">
        <v>3</v>
      </c>
      <c r="AG116" s="3" t="s">
        <v>3</v>
      </c>
      <c r="AH116" s="3" t="s">
        <v>3</v>
      </c>
      <c r="AI116" s="1" t="s">
        <v>3</v>
      </c>
      <c r="AJ116" s="1" t="s">
        <v>3</v>
      </c>
      <c r="AK116" s="1" t="s">
        <v>3</v>
      </c>
      <c r="AL116" s="1" t="s">
        <v>3</v>
      </c>
      <c r="AM116" s="1" t="s">
        <v>3</v>
      </c>
      <c r="AN116" s="64" t="s">
        <v>3</v>
      </c>
      <c r="AO116" s="64" t="s">
        <v>3</v>
      </c>
      <c r="AP116" s="64" t="s">
        <v>3</v>
      </c>
      <c r="AQ116" s="64" t="s">
        <v>3</v>
      </c>
      <c r="AR116" s="64" t="s">
        <v>3</v>
      </c>
      <c r="AS116" s="42" t="s">
        <v>3</v>
      </c>
      <c r="AT116" s="42" t="s">
        <v>3</v>
      </c>
      <c r="AU116" s="42" t="s">
        <v>3</v>
      </c>
      <c r="AV116" s="42" t="s">
        <v>3</v>
      </c>
      <c r="AW116" s="53" t="s">
        <v>3</v>
      </c>
      <c r="AX116" s="53" t="s">
        <v>3</v>
      </c>
      <c r="AY116" s="57" t="s">
        <v>3</v>
      </c>
      <c r="AZ116" s="57" t="s">
        <v>3</v>
      </c>
      <c r="BA116" s="121" t="s">
        <v>3</v>
      </c>
      <c r="BB116" s="4" t="s">
        <v>3</v>
      </c>
      <c r="BC116" s="38" t="s">
        <v>137</v>
      </c>
      <c r="BD116" s="3" t="s">
        <v>3</v>
      </c>
    </row>
    <row r="117" spans="1:56" ht="15" customHeight="1" x14ac:dyDescent="0.25">
      <c r="A117" s="38" t="s">
        <v>1</v>
      </c>
      <c r="B117" s="38" t="s">
        <v>138</v>
      </c>
      <c r="C117" s="38" t="s">
        <v>234</v>
      </c>
      <c r="D117" s="48">
        <v>198.13493700000001</v>
      </c>
      <c r="E117" s="92">
        <f t="shared" si="1"/>
        <v>31.25</v>
      </c>
      <c r="F117" s="12" t="s">
        <v>3</v>
      </c>
      <c r="G117" s="12" t="s">
        <v>3</v>
      </c>
      <c r="H117" s="12" t="s">
        <v>3</v>
      </c>
      <c r="I117" s="11" t="s">
        <v>3</v>
      </c>
      <c r="J117" s="11" t="s">
        <v>3</v>
      </c>
      <c r="K117" s="114" t="s">
        <v>3</v>
      </c>
      <c r="L117" s="5" t="s">
        <v>3</v>
      </c>
      <c r="M117" s="5">
        <v>53765</v>
      </c>
      <c r="N117" s="5">
        <v>35652</v>
      </c>
      <c r="O117" s="5" t="s">
        <v>3</v>
      </c>
      <c r="P117" s="5" t="s">
        <v>3</v>
      </c>
      <c r="Q117" s="5">
        <v>42717</v>
      </c>
      <c r="R117" s="5" t="s">
        <v>3</v>
      </c>
      <c r="S117" s="5" t="s">
        <v>3</v>
      </c>
      <c r="T117" s="5">
        <v>41241</v>
      </c>
      <c r="U117" s="5" t="s">
        <v>3</v>
      </c>
      <c r="V117" s="5">
        <v>35888</v>
      </c>
      <c r="W117" s="13">
        <v>2112826</v>
      </c>
      <c r="X117" s="13">
        <v>3363661</v>
      </c>
      <c r="Y117" s="13" t="s">
        <v>3</v>
      </c>
      <c r="Z117" s="40">
        <v>31458704</v>
      </c>
      <c r="AA117" s="6">
        <v>20268306</v>
      </c>
      <c r="AB117" s="6" t="s">
        <v>3</v>
      </c>
      <c r="AC117" s="8">
        <v>1012872</v>
      </c>
      <c r="AD117" s="8" t="s">
        <v>3</v>
      </c>
      <c r="AE117" s="3" t="s">
        <v>3</v>
      </c>
      <c r="AF117" s="3" t="s">
        <v>3</v>
      </c>
      <c r="AG117" s="3" t="s">
        <v>3</v>
      </c>
      <c r="AH117" s="3" t="s">
        <v>3</v>
      </c>
      <c r="AI117" s="1">
        <v>6539</v>
      </c>
      <c r="AJ117" s="1" t="s">
        <v>3</v>
      </c>
      <c r="AK117" s="1" t="s">
        <v>3</v>
      </c>
      <c r="AL117" s="1" t="s">
        <v>3</v>
      </c>
      <c r="AM117" s="1" t="s">
        <v>3</v>
      </c>
      <c r="AN117" s="64" t="s">
        <v>3</v>
      </c>
      <c r="AO117" s="64" t="s">
        <v>3</v>
      </c>
      <c r="AP117" s="64" t="s">
        <v>3</v>
      </c>
      <c r="AQ117" s="64" t="s">
        <v>3</v>
      </c>
      <c r="AR117" s="64" t="s">
        <v>3</v>
      </c>
      <c r="AS117" s="42">
        <v>2436</v>
      </c>
      <c r="AT117" s="42">
        <v>5718</v>
      </c>
      <c r="AU117" s="42">
        <v>5871</v>
      </c>
      <c r="AV117" s="42">
        <v>1191</v>
      </c>
      <c r="AW117" s="53" t="s">
        <v>3</v>
      </c>
      <c r="AX117" s="53" t="s">
        <v>3</v>
      </c>
      <c r="AY117" s="57" t="s">
        <v>3</v>
      </c>
      <c r="AZ117" s="57" t="s">
        <v>3</v>
      </c>
      <c r="BA117" s="121" t="s">
        <v>3</v>
      </c>
      <c r="BB117" s="4" t="s">
        <v>3</v>
      </c>
      <c r="BC117" s="38" t="s">
        <v>3</v>
      </c>
      <c r="BD117" s="3" t="s">
        <v>3</v>
      </c>
    </row>
    <row r="118" spans="1:56" ht="15" customHeight="1" x14ac:dyDescent="0.25">
      <c r="A118" s="38" t="s">
        <v>1</v>
      </c>
      <c r="B118" s="38" t="s">
        <v>139</v>
      </c>
      <c r="C118" s="38" t="s">
        <v>234</v>
      </c>
      <c r="D118" s="48">
        <v>196.120384</v>
      </c>
      <c r="E118" s="92">
        <f t="shared" si="1"/>
        <v>27.083333333333332</v>
      </c>
      <c r="F118" s="12" t="s">
        <v>564</v>
      </c>
      <c r="G118" s="12" t="s">
        <v>564</v>
      </c>
      <c r="H118" s="12" t="s">
        <v>564</v>
      </c>
      <c r="I118" s="11" t="s">
        <v>3</v>
      </c>
      <c r="J118" s="11" t="s">
        <v>3</v>
      </c>
      <c r="K118" s="114" t="s">
        <v>3</v>
      </c>
      <c r="L118" s="5" t="s">
        <v>3</v>
      </c>
      <c r="M118" s="5">
        <v>5836</v>
      </c>
      <c r="N118" s="5">
        <v>2798</v>
      </c>
      <c r="O118" s="5">
        <v>1653</v>
      </c>
      <c r="P118" s="5">
        <v>2545</v>
      </c>
      <c r="Q118" s="5">
        <v>4598</v>
      </c>
      <c r="R118" s="5">
        <v>1036</v>
      </c>
      <c r="S118" s="5">
        <v>2496</v>
      </c>
      <c r="T118" s="5">
        <v>4651</v>
      </c>
      <c r="U118" s="5">
        <v>2512</v>
      </c>
      <c r="V118" s="5">
        <v>4425</v>
      </c>
      <c r="W118" s="14" t="s">
        <v>564</v>
      </c>
      <c r="X118" s="14" t="s">
        <v>564</v>
      </c>
      <c r="Y118" s="14" t="s">
        <v>564</v>
      </c>
      <c r="Z118" s="40" t="s">
        <v>3</v>
      </c>
      <c r="AA118" s="6">
        <v>318919</v>
      </c>
      <c r="AB118" s="6" t="s">
        <v>3</v>
      </c>
      <c r="AC118" s="8">
        <v>40612</v>
      </c>
      <c r="AD118" s="8" t="s">
        <v>3</v>
      </c>
      <c r="AE118" s="3" t="s">
        <v>3</v>
      </c>
      <c r="AF118" s="3" t="s">
        <v>3</v>
      </c>
      <c r="AG118" s="3" t="s">
        <v>3</v>
      </c>
      <c r="AH118" s="3" t="s">
        <v>3</v>
      </c>
      <c r="AI118" s="1" t="s">
        <v>3</v>
      </c>
      <c r="AJ118" s="1" t="s">
        <v>564</v>
      </c>
      <c r="AK118" s="1" t="s">
        <v>3</v>
      </c>
      <c r="AL118" s="1" t="s">
        <v>3</v>
      </c>
      <c r="AM118" s="1" t="s">
        <v>564</v>
      </c>
      <c r="AN118" s="64" t="s">
        <v>564</v>
      </c>
      <c r="AO118" s="64" t="s">
        <v>564</v>
      </c>
      <c r="AP118" s="64" t="s">
        <v>564</v>
      </c>
      <c r="AQ118" s="64" t="s">
        <v>564</v>
      </c>
      <c r="AR118" s="64" t="s">
        <v>564</v>
      </c>
      <c r="AS118" s="42" t="s">
        <v>3</v>
      </c>
      <c r="AT118" s="42">
        <v>838</v>
      </c>
      <c r="AU118" s="42" t="s">
        <v>3</v>
      </c>
      <c r="AV118" s="42" t="s">
        <v>3</v>
      </c>
      <c r="AW118" s="53" t="s">
        <v>3</v>
      </c>
      <c r="AX118" s="53" t="s">
        <v>3</v>
      </c>
      <c r="AY118" s="57" t="s">
        <v>3</v>
      </c>
      <c r="AZ118" s="57" t="s">
        <v>3</v>
      </c>
      <c r="BA118" s="121" t="s">
        <v>3</v>
      </c>
      <c r="BB118" s="4" t="s">
        <v>3</v>
      </c>
      <c r="BC118" s="38" t="s">
        <v>3</v>
      </c>
      <c r="BD118" s="3" t="s">
        <v>3</v>
      </c>
    </row>
    <row r="119" spans="1:56" ht="15" customHeight="1" x14ac:dyDescent="0.25">
      <c r="A119" s="38" t="s">
        <v>49</v>
      </c>
      <c r="B119" s="38" t="s">
        <v>138</v>
      </c>
      <c r="C119" s="38" t="s">
        <v>235</v>
      </c>
      <c r="D119" s="48">
        <v>296.02395999999999</v>
      </c>
      <c r="E119" s="92">
        <f t="shared" si="1"/>
        <v>45.833333333333329</v>
      </c>
      <c r="F119" s="12">
        <v>111169</v>
      </c>
      <c r="G119" s="12">
        <v>57574</v>
      </c>
      <c r="H119" s="12" t="s">
        <v>3</v>
      </c>
      <c r="I119" s="11" t="s">
        <v>3</v>
      </c>
      <c r="J119" s="11" t="s">
        <v>3</v>
      </c>
      <c r="K119" s="114" t="s">
        <v>3</v>
      </c>
      <c r="L119" s="5" t="s">
        <v>3</v>
      </c>
      <c r="M119" s="5">
        <v>831131</v>
      </c>
      <c r="N119" s="5">
        <v>1057034</v>
      </c>
      <c r="O119" s="5">
        <v>884232</v>
      </c>
      <c r="P119" s="5">
        <v>684151</v>
      </c>
      <c r="Q119" s="5">
        <v>1310524</v>
      </c>
      <c r="R119" s="5">
        <v>594546</v>
      </c>
      <c r="S119" s="5">
        <v>303919</v>
      </c>
      <c r="T119" s="5">
        <v>373653</v>
      </c>
      <c r="U119" s="5">
        <v>878752</v>
      </c>
      <c r="V119" s="5">
        <v>662041</v>
      </c>
      <c r="W119" s="13">
        <v>5745835</v>
      </c>
      <c r="X119" s="13">
        <v>13070228</v>
      </c>
      <c r="Y119" s="13" t="s">
        <v>3</v>
      </c>
      <c r="Z119" s="40" t="s">
        <v>3</v>
      </c>
      <c r="AA119" s="6">
        <v>19822704</v>
      </c>
      <c r="AB119" s="6">
        <v>40720</v>
      </c>
      <c r="AC119" s="8">
        <v>399924</v>
      </c>
      <c r="AD119" s="8" t="s">
        <v>3</v>
      </c>
      <c r="AE119" s="3">
        <v>1664</v>
      </c>
      <c r="AF119" s="3">
        <v>1652</v>
      </c>
      <c r="AG119" s="3" t="s">
        <v>3</v>
      </c>
      <c r="AH119" s="3" t="s">
        <v>3</v>
      </c>
      <c r="AI119" s="1" t="s">
        <v>3</v>
      </c>
      <c r="AJ119" s="2">
        <v>52398</v>
      </c>
      <c r="AK119" s="2">
        <v>53077</v>
      </c>
      <c r="AL119" s="2">
        <v>20216</v>
      </c>
      <c r="AM119" s="2" t="s">
        <v>3</v>
      </c>
      <c r="AN119" s="64" t="s">
        <v>3</v>
      </c>
      <c r="AO119" s="64" t="s">
        <v>3</v>
      </c>
      <c r="AP119" s="64" t="s">
        <v>3</v>
      </c>
      <c r="AQ119" s="64" t="s">
        <v>3</v>
      </c>
      <c r="AR119" s="64" t="s">
        <v>3</v>
      </c>
      <c r="AS119" s="42" t="s">
        <v>3</v>
      </c>
      <c r="AT119" s="42" t="s">
        <v>3</v>
      </c>
      <c r="AU119" s="42" t="s">
        <v>3</v>
      </c>
      <c r="AV119" s="42" t="s">
        <v>3</v>
      </c>
      <c r="AW119" s="53" t="s">
        <v>3</v>
      </c>
      <c r="AX119" s="53" t="s">
        <v>3</v>
      </c>
      <c r="AY119" s="57" t="s">
        <v>3</v>
      </c>
      <c r="AZ119" s="57">
        <v>56472</v>
      </c>
      <c r="BA119" s="121">
        <v>162876</v>
      </c>
      <c r="BB119" s="4" t="s">
        <v>3</v>
      </c>
      <c r="BC119" s="38" t="s">
        <v>137</v>
      </c>
      <c r="BD119" s="3" t="s">
        <v>3</v>
      </c>
    </row>
    <row r="120" spans="1:56" ht="15" customHeight="1" x14ac:dyDescent="0.25">
      <c r="A120" s="38" t="s">
        <v>49</v>
      </c>
      <c r="B120" s="38" t="s">
        <v>139</v>
      </c>
      <c r="C120" s="38" t="s">
        <v>235</v>
      </c>
      <c r="D120" s="48">
        <v>294.00940800000001</v>
      </c>
      <c r="E120" s="92">
        <f t="shared" si="1"/>
        <v>35.416666666666671</v>
      </c>
      <c r="F120" s="12" t="s">
        <v>564</v>
      </c>
      <c r="G120" s="12" t="s">
        <v>564</v>
      </c>
      <c r="H120" s="12" t="s">
        <v>564</v>
      </c>
      <c r="I120" s="10">
        <v>7937</v>
      </c>
      <c r="J120" s="10">
        <v>10294</v>
      </c>
      <c r="K120" s="115">
        <v>64539</v>
      </c>
      <c r="L120" s="5" t="s">
        <v>3</v>
      </c>
      <c r="M120" s="5">
        <v>2014325</v>
      </c>
      <c r="N120" s="5">
        <v>2808522</v>
      </c>
      <c r="O120" s="5">
        <v>2110329</v>
      </c>
      <c r="P120" s="5">
        <v>1704216</v>
      </c>
      <c r="Q120" s="5">
        <v>3058171</v>
      </c>
      <c r="R120" s="5">
        <v>2096621</v>
      </c>
      <c r="S120" s="5">
        <v>921595</v>
      </c>
      <c r="T120" s="5">
        <v>788073</v>
      </c>
      <c r="U120" s="5">
        <v>1968677</v>
      </c>
      <c r="V120" s="5">
        <v>1721203</v>
      </c>
      <c r="W120" s="14" t="s">
        <v>564</v>
      </c>
      <c r="X120" s="14" t="s">
        <v>564</v>
      </c>
      <c r="Y120" s="14" t="s">
        <v>564</v>
      </c>
      <c r="Z120" s="40" t="s">
        <v>3</v>
      </c>
      <c r="AA120" s="6">
        <v>7145100</v>
      </c>
      <c r="AB120" s="6" t="s">
        <v>3</v>
      </c>
      <c r="AC120" s="8">
        <v>187079</v>
      </c>
      <c r="AD120" s="8" t="s">
        <v>3</v>
      </c>
      <c r="AE120" s="3">
        <v>344</v>
      </c>
      <c r="AF120" s="3">
        <v>292</v>
      </c>
      <c r="AG120" s="3" t="s">
        <v>3</v>
      </c>
      <c r="AH120" s="3" t="s">
        <v>3</v>
      </c>
      <c r="AI120" s="1" t="s">
        <v>3</v>
      </c>
      <c r="AJ120" s="1" t="s">
        <v>564</v>
      </c>
      <c r="AK120" s="2">
        <v>3625</v>
      </c>
      <c r="AL120" s="2">
        <v>17763</v>
      </c>
      <c r="AM120" s="1" t="s">
        <v>564</v>
      </c>
      <c r="AN120" s="64" t="s">
        <v>564</v>
      </c>
      <c r="AO120" s="64" t="s">
        <v>564</v>
      </c>
      <c r="AP120" s="64" t="s">
        <v>564</v>
      </c>
      <c r="AQ120" s="64" t="s">
        <v>564</v>
      </c>
      <c r="AR120" s="64" t="s">
        <v>564</v>
      </c>
      <c r="AS120" s="42" t="s">
        <v>3</v>
      </c>
      <c r="AT120" s="42" t="s">
        <v>3</v>
      </c>
      <c r="AU120" s="42" t="s">
        <v>3</v>
      </c>
      <c r="AV120" s="42" t="s">
        <v>3</v>
      </c>
      <c r="AW120" s="53" t="s">
        <v>3</v>
      </c>
      <c r="AX120" s="53" t="s">
        <v>3</v>
      </c>
      <c r="AY120" s="57" t="s">
        <v>3</v>
      </c>
      <c r="AZ120" s="57" t="s">
        <v>3</v>
      </c>
      <c r="BA120" s="121">
        <v>19783</v>
      </c>
      <c r="BB120" s="4" t="s">
        <v>3</v>
      </c>
      <c r="BC120" s="38" t="s">
        <v>137</v>
      </c>
      <c r="BD120" s="3" t="s">
        <v>3</v>
      </c>
    </row>
    <row r="121" spans="1:56" ht="15" customHeight="1" x14ac:dyDescent="0.25">
      <c r="A121" s="38" t="s">
        <v>119</v>
      </c>
      <c r="B121" s="38" t="s">
        <v>138</v>
      </c>
      <c r="C121" s="38" t="s">
        <v>236</v>
      </c>
      <c r="D121" s="48">
        <v>207.14919</v>
      </c>
      <c r="E121" s="92">
        <f t="shared" si="1"/>
        <v>37.5</v>
      </c>
      <c r="F121" s="12" t="s">
        <v>3</v>
      </c>
      <c r="G121" s="12" t="s">
        <v>3</v>
      </c>
      <c r="H121" s="12" t="s">
        <v>3</v>
      </c>
      <c r="I121" s="11" t="s">
        <v>3</v>
      </c>
      <c r="J121" s="10">
        <v>685984</v>
      </c>
      <c r="K121" s="115">
        <v>121553</v>
      </c>
      <c r="L121" s="5" t="s">
        <v>3</v>
      </c>
      <c r="M121" s="5">
        <v>163211</v>
      </c>
      <c r="N121" s="5">
        <f>45899</f>
        <v>45899</v>
      </c>
      <c r="O121" s="5">
        <v>33833</v>
      </c>
      <c r="P121" s="5">
        <v>46891</v>
      </c>
      <c r="Q121" s="5">
        <v>119650</v>
      </c>
      <c r="R121" s="5" t="s">
        <v>3</v>
      </c>
      <c r="S121" s="5">
        <v>67738</v>
      </c>
      <c r="T121" s="5">
        <v>54696</v>
      </c>
      <c r="U121" s="5">
        <v>54412</v>
      </c>
      <c r="V121" s="5">
        <v>94343</v>
      </c>
      <c r="W121" s="13">
        <v>5410596</v>
      </c>
      <c r="X121" s="13">
        <v>4850905</v>
      </c>
      <c r="Y121" s="13" t="s">
        <v>3</v>
      </c>
      <c r="Z121" s="40">
        <v>2336851</v>
      </c>
      <c r="AA121" s="6">
        <v>6726441</v>
      </c>
      <c r="AB121" s="6" t="s">
        <v>3</v>
      </c>
      <c r="AC121" s="8">
        <v>2482179</v>
      </c>
      <c r="AD121" s="8" t="s">
        <v>3</v>
      </c>
      <c r="AE121" s="3" t="s">
        <v>3</v>
      </c>
      <c r="AF121" s="3" t="s">
        <v>3</v>
      </c>
      <c r="AG121" s="3" t="s">
        <v>3</v>
      </c>
      <c r="AH121" s="3" t="s">
        <v>3</v>
      </c>
      <c r="AI121" s="1" t="s">
        <v>3</v>
      </c>
      <c r="AJ121" s="1" t="s">
        <v>3</v>
      </c>
      <c r="AK121" s="1" t="s">
        <v>3</v>
      </c>
      <c r="AL121" s="1" t="s">
        <v>3</v>
      </c>
      <c r="AM121" s="1" t="s">
        <v>3</v>
      </c>
      <c r="AN121" s="64" t="s">
        <v>3</v>
      </c>
      <c r="AO121" s="64" t="s">
        <v>3</v>
      </c>
      <c r="AP121" s="64" t="s">
        <v>3</v>
      </c>
      <c r="AQ121" s="64" t="s">
        <v>3</v>
      </c>
      <c r="AR121" s="64" t="s">
        <v>3</v>
      </c>
      <c r="AS121" s="42">
        <v>907</v>
      </c>
      <c r="AT121" s="42">
        <v>4827</v>
      </c>
      <c r="AU121" s="42">
        <v>3282</v>
      </c>
      <c r="AV121" s="42">
        <v>1937</v>
      </c>
      <c r="AW121" s="53" t="s">
        <v>3</v>
      </c>
      <c r="AX121" s="53" t="s">
        <v>3</v>
      </c>
      <c r="AY121" s="57" t="s">
        <v>3</v>
      </c>
      <c r="AZ121" s="57" t="s">
        <v>3</v>
      </c>
      <c r="BA121" s="121" t="s">
        <v>3</v>
      </c>
      <c r="BB121" s="4" t="s">
        <v>3</v>
      </c>
      <c r="BC121" s="38" t="s">
        <v>137</v>
      </c>
      <c r="BD121" s="3" t="s">
        <v>3</v>
      </c>
    </row>
    <row r="122" spans="1:56" ht="15" customHeight="1" x14ac:dyDescent="0.25">
      <c r="A122" s="38" t="s">
        <v>52</v>
      </c>
      <c r="B122" s="38" t="s">
        <v>138</v>
      </c>
      <c r="C122" s="38" t="s">
        <v>237</v>
      </c>
      <c r="D122" s="48">
        <v>254.05938900000001</v>
      </c>
      <c r="E122" s="92">
        <f t="shared" si="1"/>
        <v>58.333333333333336</v>
      </c>
      <c r="F122" s="12">
        <v>49305</v>
      </c>
      <c r="G122" s="12">
        <v>53952</v>
      </c>
      <c r="H122" s="12" t="s">
        <v>3</v>
      </c>
      <c r="I122" s="11" t="s">
        <v>3</v>
      </c>
      <c r="J122" s="11" t="s">
        <v>3</v>
      </c>
      <c r="K122" s="114" t="s">
        <v>3</v>
      </c>
      <c r="L122" s="5" t="s">
        <v>3</v>
      </c>
      <c r="M122" s="5">
        <v>314718</v>
      </c>
      <c r="N122" s="5">
        <v>496683</v>
      </c>
      <c r="O122" s="5">
        <v>660581</v>
      </c>
      <c r="P122" s="5">
        <v>187772</v>
      </c>
      <c r="Q122" s="5">
        <v>264895</v>
      </c>
      <c r="R122" s="5">
        <v>320056</v>
      </c>
      <c r="S122" s="5">
        <v>512429</v>
      </c>
      <c r="T122" s="5">
        <v>74674</v>
      </c>
      <c r="U122" s="5">
        <v>253707</v>
      </c>
      <c r="V122" s="5">
        <v>558781</v>
      </c>
      <c r="W122" s="13">
        <v>7331164</v>
      </c>
      <c r="X122" s="13">
        <v>8874914</v>
      </c>
      <c r="Y122" s="13" t="s">
        <v>3</v>
      </c>
      <c r="Z122" s="40">
        <v>10386522</v>
      </c>
      <c r="AA122" s="6">
        <v>7770593</v>
      </c>
      <c r="AB122" s="6">
        <v>24087</v>
      </c>
      <c r="AC122" s="8">
        <v>873864</v>
      </c>
      <c r="AD122" s="8" t="s">
        <v>3</v>
      </c>
      <c r="AE122" s="3">
        <v>876</v>
      </c>
      <c r="AF122" s="3">
        <v>3444</v>
      </c>
      <c r="AG122" s="3" t="s">
        <v>3</v>
      </c>
      <c r="AH122" s="3" t="s">
        <v>3</v>
      </c>
      <c r="AI122" s="1">
        <v>176255</v>
      </c>
      <c r="AJ122" s="2">
        <v>22310</v>
      </c>
      <c r="AK122" s="2">
        <v>22903</v>
      </c>
      <c r="AL122" s="2">
        <v>5067</v>
      </c>
      <c r="AM122" s="2" t="s">
        <v>3</v>
      </c>
      <c r="AN122" s="64" t="s">
        <v>3</v>
      </c>
      <c r="AO122" s="64" t="s">
        <v>3</v>
      </c>
      <c r="AP122" s="64" t="s">
        <v>3</v>
      </c>
      <c r="AQ122" s="64" t="s">
        <v>3</v>
      </c>
      <c r="AR122" s="64" t="s">
        <v>3</v>
      </c>
      <c r="AS122" s="42" t="s">
        <v>3</v>
      </c>
      <c r="AT122" s="42">
        <v>882</v>
      </c>
      <c r="AU122" s="42" t="s">
        <v>3</v>
      </c>
      <c r="AV122" s="42">
        <v>1574</v>
      </c>
      <c r="AW122" s="53">
        <v>18070</v>
      </c>
      <c r="AX122" s="53" t="s">
        <v>3</v>
      </c>
      <c r="AY122" s="57">
        <v>232640</v>
      </c>
      <c r="AZ122" s="57">
        <v>114784</v>
      </c>
      <c r="BA122" s="121">
        <v>435651</v>
      </c>
      <c r="BB122" s="4" t="s">
        <v>3</v>
      </c>
      <c r="BC122" s="38" t="s">
        <v>137</v>
      </c>
      <c r="BD122" s="3">
        <v>7636</v>
      </c>
    </row>
    <row r="123" spans="1:56" ht="15" customHeight="1" x14ac:dyDescent="0.25">
      <c r="A123" s="38" t="s">
        <v>52</v>
      </c>
      <c r="B123" s="38" t="s">
        <v>139</v>
      </c>
      <c r="C123" s="38" t="s">
        <v>237</v>
      </c>
      <c r="D123" s="48">
        <v>252.044836</v>
      </c>
      <c r="E123" s="92">
        <f t="shared" si="1"/>
        <v>27.083333333333332</v>
      </c>
      <c r="F123" s="12" t="s">
        <v>564</v>
      </c>
      <c r="G123" s="12" t="s">
        <v>564</v>
      </c>
      <c r="H123" s="12" t="s">
        <v>564</v>
      </c>
      <c r="I123" s="11" t="s">
        <v>3</v>
      </c>
      <c r="J123" s="11" t="s">
        <v>3</v>
      </c>
      <c r="K123" s="114" t="s">
        <v>3</v>
      </c>
      <c r="L123" s="5" t="s">
        <v>3</v>
      </c>
      <c r="M123" s="5">
        <v>10427</v>
      </c>
      <c r="N123" s="5">
        <v>18795</v>
      </c>
      <c r="O123" s="5">
        <v>30365</v>
      </c>
      <c r="P123" s="5">
        <v>8405</v>
      </c>
      <c r="Q123" s="5">
        <v>11847</v>
      </c>
      <c r="R123" s="5">
        <v>16315</v>
      </c>
      <c r="S123" s="5">
        <v>20678</v>
      </c>
      <c r="T123" s="5">
        <v>2934</v>
      </c>
      <c r="U123" s="5">
        <v>11224</v>
      </c>
      <c r="V123" s="5">
        <v>16910</v>
      </c>
      <c r="W123" s="14" t="s">
        <v>564</v>
      </c>
      <c r="X123" s="14" t="s">
        <v>564</v>
      </c>
      <c r="Y123" s="14" t="s">
        <v>564</v>
      </c>
      <c r="Z123" s="40" t="s">
        <v>3</v>
      </c>
      <c r="AA123" s="6" t="s">
        <v>3</v>
      </c>
      <c r="AB123" s="6" t="s">
        <v>3</v>
      </c>
      <c r="AC123" s="8" t="s">
        <v>3</v>
      </c>
      <c r="AD123" s="8" t="s">
        <v>3</v>
      </c>
      <c r="AE123" s="3" t="s">
        <v>3</v>
      </c>
      <c r="AF123" s="3" t="s">
        <v>3</v>
      </c>
      <c r="AG123" s="3" t="s">
        <v>3</v>
      </c>
      <c r="AH123" s="3" t="s">
        <v>3</v>
      </c>
      <c r="AI123" s="1">
        <v>15278</v>
      </c>
      <c r="AJ123" s="1" t="s">
        <v>564</v>
      </c>
      <c r="AK123" s="2">
        <v>3717</v>
      </c>
      <c r="AL123" s="1" t="s">
        <v>3</v>
      </c>
      <c r="AM123" s="1" t="s">
        <v>564</v>
      </c>
      <c r="AN123" s="64" t="s">
        <v>564</v>
      </c>
      <c r="AO123" s="64" t="s">
        <v>564</v>
      </c>
      <c r="AP123" s="64" t="s">
        <v>564</v>
      </c>
      <c r="AQ123" s="64" t="s">
        <v>564</v>
      </c>
      <c r="AR123" s="64" t="s">
        <v>564</v>
      </c>
      <c r="AS123" s="42" t="s">
        <v>3</v>
      </c>
      <c r="AT123" s="42" t="s">
        <v>3</v>
      </c>
      <c r="AU123" s="42" t="s">
        <v>3</v>
      </c>
      <c r="AV123" s="42" t="s">
        <v>3</v>
      </c>
      <c r="AW123" s="53" t="s">
        <v>3</v>
      </c>
      <c r="AX123" s="53" t="s">
        <v>3</v>
      </c>
      <c r="AY123" s="57">
        <v>36669</v>
      </c>
      <c r="AZ123" s="57" t="s">
        <v>3</v>
      </c>
      <c r="BA123" s="121" t="s">
        <v>3</v>
      </c>
      <c r="BB123" s="4" t="s">
        <v>3</v>
      </c>
      <c r="BC123" s="38" t="s">
        <v>137</v>
      </c>
      <c r="BD123" s="3" t="s">
        <v>3</v>
      </c>
    </row>
    <row r="124" spans="1:56" ht="15" customHeight="1" x14ac:dyDescent="0.25">
      <c r="A124" s="38" t="s">
        <v>120</v>
      </c>
      <c r="B124" s="38" t="s">
        <v>138</v>
      </c>
      <c r="C124" s="38" t="s">
        <v>238</v>
      </c>
      <c r="D124" s="48">
        <v>230.11670000000001</v>
      </c>
      <c r="E124" s="92">
        <f t="shared" si="1"/>
        <v>20.833333333333336</v>
      </c>
      <c r="F124" s="12" t="s">
        <v>3</v>
      </c>
      <c r="G124" s="12" t="s">
        <v>3</v>
      </c>
      <c r="H124" s="12" t="s">
        <v>3</v>
      </c>
      <c r="I124" s="11" t="s">
        <v>3</v>
      </c>
      <c r="J124" s="11" t="s">
        <v>3</v>
      </c>
      <c r="K124" s="114" t="s">
        <v>3</v>
      </c>
      <c r="L124" s="5" t="s">
        <v>3</v>
      </c>
      <c r="M124" s="5" t="s">
        <v>3</v>
      </c>
      <c r="N124" s="5" t="s">
        <v>3</v>
      </c>
      <c r="O124" s="5" t="s">
        <v>3</v>
      </c>
      <c r="P124" s="5" t="s">
        <v>3</v>
      </c>
      <c r="Q124" s="5" t="s">
        <v>3</v>
      </c>
      <c r="R124" s="5" t="s">
        <v>3</v>
      </c>
      <c r="S124" s="5" t="s">
        <v>3</v>
      </c>
      <c r="T124" s="5" t="s">
        <v>3</v>
      </c>
      <c r="U124" s="5" t="s">
        <v>3</v>
      </c>
      <c r="V124" s="5" t="s">
        <v>3</v>
      </c>
      <c r="W124" s="13">
        <v>2637988</v>
      </c>
      <c r="X124" s="13">
        <v>2665723</v>
      </c>
      <c r="Y124" s="13" t="s">
        <v>3</v>
      </c>
      <c r="Z124" s="40">
        <v>24413666</v>
      </c>
      <c r="AA124" s="6">
        <v>42420136</v>
      </c>
      <c r="AB124" s="6">
        <v>135730</v>
      </c>
      <c r="AC124" s="8" t="s">
        <v>3</v>
      </c>
      <c r="AD124" s="8" t="s">
        <v>3</v>
      </c>
      <c r="AE124" s="3" t="s">
        <v>3</v>
      </c>
      <c r="AF124" s="3" t="s">
        <v>3</v>
      </c>
      <c r="AG124" s="3" t="s">
        <v>3</v>
      </c>
      <c r="AH124" s="3" t="s">
        <v>3</v>
      </c>
      <c r="AI124" s="1">
        <v>150050</v>
      </c>
      <c r="AJ124" s="2">
        <v>925927</v>
      </c>
      <c r="AK124" s="2">
        <v>41487</v>
      </c>
      <c r="AL124" s="1" t="s">
        <v>3</v>
      </c>
      <c r="AM124" s="1" t="s">
        <v>3</v>
      </c>
      <c r="AN124" s="64" t="s">
        <v>3</v>
      </c>
      <c r="AO124" s="64" t="s">
        <v>3</v>
      </c>
      <c r="AP124" s="64" t="s">
        <v>3</v>
      </c>
      <c r="AQ124" s="64" t="s">
        <v>3</v>
      </c>
      <c r="AR124" s="64" t="s">
        <v>3</v>
      </c>
      <c r="AS124" s="42" t="s">
        <v>3</v>
      </c>
      <c r="AT124" s="42">
        <v>2899</v>
      </c>
      <c r="AU124" s="42" t="s">
        <v>3</v>
      </c>
      <c r="AV124" s="42">
        <v>2062</v>
      </c>
      <c r="AW124" s="53" t="s">
        <v>3</v>
      </c>
      <c r="AX124" s="53" t="s">
        <v>3</v>
      </c>
      <c r="AY124" s="57" t="s">
        <v>3</v>
      </c>
      <c r="AZ124" s="57" t="s">
        <v>3</v>
      </c>
      <c r="BA124" s="121" t="s">
        <v>3</v>
      </c>
      <c r="BB124" s="4" t="s">
        <v>3</v>
      </c>
      <c r="BC124" s="38" t="s">
        <v>137</v>
      </c>
      <c r="BD124" s="3" t="s">
        <v>3</v>
      </c>
    </row>
    <row r="125" spans="1:56" ht="15" customHeight="1" x14ac:dyDescent="0.25">
      <c r="A125" s="38" t="s">
        <v>99</v>
      </c>
      <c r="B125" s="38" t="s">
        <v>138</v>
      </c>
      <c r="C125" s="38" t="s">
        <v>239</v>
      </c>
      <c r="D125" s="48">
        <v>202.08539999999999</v>
      </c>
      <c r="E125" s="92">
        <f t="shared" si="1"/>
        <v>14.583333333333334</v>
      </c>
      <c r="F125" s="12" t="s">
        <v>3</v>
      </c>
      <c r="G125" s="12" t="s">
        <v>3</v>
      </c>
      <c r="H125" s="12" t="s">
        <v>3</v>
      </c>
      <c r="I125" s="11" t="s">
        <v>3</v>
      </c>
      <c r="J125" s="11" t="s">
        <v>3</v>
      </c>
      <c r="K125" s="114" t="s">
        <v>3</v>
      </c>
      <c r="L125" s="5" t="s">
        <v>3</v>
      </c>
      <c r="M125" s="5" t="s">
        <v>3</v>
      </c>
      <c r="N125" s="5" t="s">
        <v>3</v>
      </c>
      <c r="O125" s="5" t="s">
        <v>3</v>
      </c>
      <c r="P125" s="5" t="s">
        <v>3</v>
      </c>
      <c r="Q125" s="5" t="s">
        <v>3</v>
      </c>
      <c r="R125" s="5" t="s">
        <v>3</v>
      </c>
      <c r="S125" s="5" t="s">
        <v>3</v>
      </c>
      <c r="T125" s="5" t="s">
        <v>3</v>
      </c>
      <c r="U125" s="5" t="s">
        <v>3</v>
      </c>
      <c r="V125" s="5" t="s">
        <v>3</v>
      </c>
      <c r="W125" s="13">
        <v>2591942</v>
      </c>
      <c r="X125" s="13">
        <v>2239019</v>
      </c>
      <c r="Y125" s="13" t="s">
        <v>3</v>
      </c>
      <c r="Z125" s="40">
        <v>9400970</v>
      </c>
      <c r="AA125" s="6">
        <v>26329762</v>
      </c>
      <c r="AB125" s="6" t="s">
        <v>3</v>
      </c>
      <c r="AC125" s="8" t="s">
        <v>3</v>
      </c>
      <c r="AD125" s="8" t="s">
        <v>3</v>
      </c>
      <c r="AE125" s="3" t="s">
        <v>3</v>
      </c>
      <c r="AF125" s="3" t="s">
        <v>3</v>
      </c>
      <c r="AG125" s="3" t="s">
        <v>3</v>
      </c>
      <c r="AH125" s="3" t="s">
        <v>3</v>
      </c>
      <c r="AI125" s="1">
        <v>119462</v>
      </c>
      <c r="AJ125" s="2">
        <v>32075</v>
      </c>
      <c r="AK125" s="2">
        <v>10020</v>
      </c>
      <c r="AL125" s="1" t="s">
        <v>3</v>
      </c>
      <c r="AM125" s="1" t="s">
        <v>3</v>
      </c>
      <c r="AN125" s="64" t="s">
        <v>3</v>
      </c>
      <c r="AO125" s="64" t="s">
        <v>3</v>
      </c>
      <c r="AP125" s="64" t="s">
        <v>3</v>
      </c>
      <c r="AQ125" s="64" t="s">
        <v>3</v>
      </c>
      <c r="AR125" s="64" t="s">
        <v>3</v>
      </c>
      <c r="AS125" s="42" t="s">
        <v>3</v>
      </c>
      <c r="AT125" s="42" t="s">
        <v>3</v>
      </c>
      <c r="AU125" s="42" t="s">
        <v>3</v>
      </c>
      <c r="AV125" s="42" t="s">
        <v>3</v>
      </c>
      <c r="AW125" s="53" t="s">
        <v>3</v>
      </c>
      <c r="AX125" s="53" t="s">
        <v>3</v>
      </c>
      <c r="AY125" s="57" t="s">
        <v>3</v>
      </c>
      <c r="AZ125" s="57" t="s">
        <v>3</v>
      </c>
      <c r="BA125" s="121" t="s">
        <v>3</v>
      </c>
      <c r="BB125" s="4" t="s">
        <v>3</v>
      </c>
      <c r="BC125" s="38" t="s">
        <v>131</v>
      </c>
      <c r="BD125" s="3" t="s">
        <v>3</v>
      </c>
    </row>
    <row r="126" spans="1:56" ht="15" customHeight="1" x14ac:dyDescent="0.25">
      <c r="A126" s="38" t="s">
        <v>123</v>
      </c>
      <c r="B126" s="38" t="s">
        <v>138</v>
      </c>
      <c r="C126" s="38" t="s">
        <v>242</v>
      </c>
      <c r="D126" s="48">
        <v>278.211456</v>
      </c>
      <c r="E126" s="92">
        <f t="shared" si="1"/>
        <v>62.5</v>
      </c>
      <c r="F126" s="12">
        <v>677980</v>
      </c>
      <c r="G126" s="12">
        <v>1310305</v>
      </c>
      <c r="H126" s="12" t="s">
        <v>3</v>
      </c>
      <c r="I126" s="11" t="s">
        <v>3</v>
      </c>
      <c r="J126" s="11" t="s">
        <v>3</v>
      </c>
      <c r="K126" s="115">
        <v>1046978</v>
      </c>
      <c r="L126" s="5" t="s">
        <v>3</v>
      </c>
      <c r="M126" s="5">
        <v>3071226</v>
      </c>
      <c r="N126" s="5">
        <v>5451476</v>
      </c>
      <c r="O126" s="5">
        <v>3344914</v>
      </c>
      <c r="P126" s="5">
        <v>1647817</v>
      </c>
      <c r="Q126" s="5">
        <v>2723026</v>
      </c>
      <c r="R126" s="5">
        <v>1740993</v>
      </c>
      <c r="S126" s="5">
        <v>2977561</v>
      </c>
      <c r="T126" s="5">
        <v>1339694</v>
      </c>
      <c r="U126" s="5">
        <v>1557601</v>
      </c>
      <c r="V126" s="5">
        <v>2829046</v>
      </c>
      <c r="W126" s="13">
        <v>22734260</v>
      </c>
      <c r="X126" s="13">
        <v>28806662</v>
      </c>
      <c r="Y126" s="13" t="s">
        <v>3</v>
      </c>
      <c r="Z126" s="40">
        <v>10106232</v>
      </c>
      <c r="AA126" s="6">
        <v>44874524</v>
      </c>
      <c r="AB126" s="6">
        <v>69873</v>
      </c>
      <c r="AC126" s="8">
        <v>4251356</v>
      </c>
      <c r="AD126" s="8" t="s">
        <v>3</v>
      </c>
      <c r="AE126" s="3">
        <v>49496</v>
      </c>
      <c r="AF126" s="3">
        <v>67812</v>
      </c>
      <c r="AG126" s="3">
        <v>6608</v>
      </c>
      <c r="AH126" s="3">
        <v>3060</v>
      </c>
      <c r="AI126" s="1">
        <v>270398</v>
      </c>
      <c r="AJ126" s="2">
        <v>643144</v>
      </c>
      <c r="AK126" s="2">
        <v>809658</v>
      </c>
      <c r="AL126" s="2">
        <v>1413481</v>
      </c>
      <c r="AM126" s="2" t="s">
        <v>3</v>
      </c>
      <c r="AN126" s="64" t="s">
        <v>3</v>
      </c>
      <c r="AO126" s="64" t="s">
        <v>3</v>
      </c>
      <c r="AP126" s="64" t="s">
        <v>3</v>
      </c>
      <c r="AQ126" s="64" t="s">
        <v>3</v>
      </c>
      <c r="AR126" s="64" t="s">
        <v>3</v>
      </c>
      <c r="AS126" s="42" t="s">
        <v>3</v>
      </c>
      <c r="AT126" s="42">
        <v>8172</v>
      </c>
      <c r="AU126" s="42" t="s">
        <v>3</v>
      </c>
      <c r="AV126" s="42">
        <v>5950</v>
      </c>
      <c r="AW126" s="53">
        <v>46679</v>
      </c>
      <c r="AX126" s="53">
        <v>18098</v>
      </c>
      <c r="AY126" s="57">
        <v>313473</v>
      </c>
      <c r="AZ126" s="57" t="s">
        <v>3</v>
      </c>
      <c r="BA126" s="121">
        <v>4419718</v>
      </c>
      <c r="BB126" s="4" t="s">
        <v>3</v>
      </c>
      <c r="BC126" s="38" t="s">
        <v>137</v>
      </c>
      <c r="BD126" s="3">
        <v>11052</v>
      </c>
    </row>
    <row r="127" spans="1:56" ht="15" customHeight="1" x14ac:dyDescent="0.25">
      <c r="A127" s="38" t="s">
        <v>293</v>
      </c>
      <c r="B127" s="38" t="s">
        <v>138</v>
      </c>
      <c r="C127" s="38" t="s">
        <v>240</v>
      </c>
      <c r="D127" s="48">
        <v>264.19580500000001</v>
      </c>
      <c r="E127" s="92">
        <f t="shared" si="1"/>
        <v>54.166666666666664</v>
      </c>
      <c r="F127" s="12">
        <v>898575</v>
      </c>
      <c r="G127" s="12">
        <v>1757491</v>
      </c>
      <c r="H127" s="12" t="s">
        <v>3</v>
      </c>
      <c r="I127" s="11" t="s">
        <v>3</v>
      </c>
      <c r="J127" s="11" t="s">
        <v>3</v>
      </c>
      <c r="K127" s="115">
        <v>1864090</v>
      </c>
      <c r="L127" s="5" t="s">
        <v>3</v>
      </c>
      <c r="M127" s="5">
        <v>176950</v>
      </c>
      <c r="N127" s="5">
        <v>152049</v>
      </c>
      <c r="O127" s="5">
        <v>477417</v>
      </c>
      <c r="P127" s="5">
        <v>1440671</v>
      </c>
      <c r="Q127" s="5">
        <v>535009</v>
      </c>
      <c r="R127" s="5">
        <v>50593</v>
      </c>
      <c r="S127" s="5">
        <v>808118</v>
      </c>
      <c r="T127" s="5">
        <v>3422547</v>
      </c>
      <c r="U127" s="5">
        <v>4687939</v>
      </c>
      <c r="V127" s="5">
        <v>162536</v>
      </c>
      <c r="W127" s="13">
        <v>8365845</v>
      </c>
      <c r="X127" s="13">
        <v>9253735</v>
      </c>
      <c r="Y127" s="13" t="s">
        <v>3</v>
      </c>
      <c r="Z127" s="40" t="s">
        <v>3</v>
      </c>
      <c r="AA127" s="6">
        <v>18820832</v>
      </c>
      <c r="AB127" s="6" t="s">
        <v>3</v>
      </c>
      <c r="AC127" s="8" t="s">
        <v>3</v>
      </c>
      <c r="AD127" s="8" t="s">
        <v>3</v>
      </c>
      <c r="AE127" s="3">
        <v>4036</v>
      </c>
      <c r="AF127" s="3" t="s">
        <v>3</v>
      </c>
      <c r="AG127" s="3" t="s">
        <v>3</v>
      </c>
      <c r="AH127" s="3" t="s">
        <v>3</v>
      </c>
      <c r="AI127" s="1">
        <v>143214</v>
      </c>
      <c r="AJ127" s="2">
        <v>96930</v>
      </c>
      <c r="AK127" s="2">
        <v>96582</v>
      </c>
      <c r="AL127" s="2">
        <v>165842</v>
      </c>
      <c r="AM127" s="2" t="s">
        <v>3</v>
      </c>
      <c r="AN127" s="64" t="s">
        <v>3</v>
      </c>
      <c r="AO127" s="64" t="s">
        <v>3</v>
      </c>
      <c r="AP127" s="64" t="s">
        <v>3</v>
      </c>
      <c r="AQ127" s="64" t="s">
        <v>3</v>
      </c>
      <c r="AR127" s="64" t="s">
        <v>3</v>
      </c>
      <c r="AS127" s="42">
        <v>315</v>
      </c>
      <c r="AT127" s="42">
        <v>30306</v>
      </c>
      <c r="AU127" s="42" t="s">
        <v>3</v>
      </c>
      <c r="AV127" s="42">
        <v>9747</v>
      </c>
      <c r="AW127" s="53">
        <v>155635</v>
      </c>
      <c r="AX127" s="53">
        <v>59216</v>
      </c>
      <c r="AY127" s="57">
        <v>666022</v>
      </c>
      <c r="AZ127" s="57">
        <v>2038785</v>
      </c>
      <c r="BA127" s="121">
        <v>7731713</v>
      </c>
      <c r="BB127" s="4" t="s">
        <v>3</v>
      </c>
      <c r="BC127" s="38" t="s">
        <v>131</v>
      </c>
      <c r="BD127" s="3">
        <v>51700</v>
      </c>
    </row>
    <row r="128" spans="1:56" ht="15" customHeight="1" x14ac:dyDescent="0.25">
      <c r="A128" s="38" t="s">
        <v>122</v>
      </c>
      <c r="B128" s="38" t="s">
        <v>138</v>
      </c>
      <c r="C128" s="38" t="s">
        <v>240</v>
      </c>
      <c r="D128" s="48">
        <v>264.19580500000001</v>
      </c>
      <c r="E128" s="92">
        <f t="shared" si="1"/>
        <v>58.333333333333336</v>
      </c>
      <c r="F128" s="12">
        <v>1060936</v>
      </c>
      <c r="G128" s="12">
        <v>1851715</v>
      </c>
      <c r="H128" s="12" t="s">
        <v>3</v>
      </c>
      <c r="I128" s="11" t="s">
        <v>3</v>
      </c>
      <c r="J128" s="11" t="s">
        <v>3</v>
      </c>
      <c r="K128" s="115">
        <v>1378891</v>
      </c>
      <c r="L128" s="5" t="s">
        <v>3</v>
      </c>
      <c r="M128" s="5">
        <v>7813844</v>
      </c>
      <c r="N128" s="5">
        <v>11513829</v>
      </c>
      <c r="O128" s="5">
        <v>9091235</v>
      </c>
      <c r="P128" s="5">
        <v>5335922</v>
      </c>
      <c r="Q128" s="5">
        <v>8176304</v>
      </c>
      <c r="R128" s="5">
        <v>4902894</v>
      </c>
      <c r="S128" s="5">
        <v>8097013</v>
      </c>
      <c r="T128" s="5">
        <v>3604045</v>
      </c>
      <c r="U128" s="5">
        <v>4381883</v>
      </c>
      <c r="V128" s="5">
        <v>7256366</v>
      </c>
      <c r="W128" s="13">
        <v>101151880</v>
      </c>
      <c r="X128" s="13">
        <v>120453496</v>
      </c>
      <c r="Y128" s="13" t="s">
        <v>3</v>
      </c>
      <c r="Z128" s="40">
        <v>40195208</v>
      </c>
      <c r="AA128" s="6">
        <v>78780776</v>
      </c>
      <c r="AB128" s="6">
        <v>109573</v>
      </c>
      <c r="AC128" s="8">
        <v>15467012</v>
      </c>
      <c r="AD128" s="8" t="s">
        <v>3</v>
      </c>
      <c r="AE128" s="3">
        <v>82212</v>
      </c>
      <c r="AF128" s="3">
        <v>209500</v>
      </c>
      <c r="AG128" s="3">
        <v>3408</v>
      </c>
      <c r="AH128" s="3">
        <v>3884</v>
      </c>
      <c r="AI128" s="1">
        <v>372084</v>
      </c>
      <c r="AJ128" s="2">
        <v>1175073</v>
      </c>
      <c r="AK128" s="2">
        <v>1505439</v>
      </c>
      <c r="AL128" s="2">
        <v>1423104</v>
      </c>
      <c r="AM128" s="2" t="s">
        <v>3</v>
      </c>
      <c r="AN128" s="64" t="s">
        <v>3</v>
      </c>
      <c r="AO128" s="64" t="s">
        <v>3</v>
      </c>
      <c r="AP128" s="64" t="s">
        <v>3</v>
      </c>
      <c r="AQ128" s="64" t="s">
        <v>3</v>
      </c>
      <c r="AR128" s="64" t="s">
        <v>3</v>
      </c>
      <c r="AS128" s="42">
        <v>1001</v>
      </c>
      <c r="AT128" s="42">
        <v>12110</v>
      </c>
      <c r="AU128" s="42">
        <v>938</v>
      </c>
      <c r="AV128" s="42">
        <v>12834</v>
      </c>
      <c r="AW128" s="53" t="s">
        <v>3</v>
      </c>
      <c r="AX128" s="53" t="s">
        <v>3</v>
      </c>
      <c r="AY128" s="57" t="s">
        <v>3</v>
      </c>
      <c r="AZ128" s="57" t="s">
        <v>3</v>
      </c>
      <c r="BA128" s="121" t="s">
        <v>3</v>
      </c>
      <c r="BB128" s="4" t="s">
        <v>3</v>
      </c>
      <c r="BC128" s="38" t="s">
        <v>137</v>
      </c>
      <c r="BD128" s="3">
        <v>51700</v>
      </c>
    </row>
    <row r="129" spans="1:56" ht="15" customHeight="1" x14ac:dyDescent="0.25">
      <c r="A129" s="38" t="s">
        <v>294</v>
      </c>
      <c r="B129" s="38" t="s">
        <v>138</v>
      </c>
      <c r="C129" s="38" t="s">
        <v>240</v>
      </c>
      <c r="D129" s="48">
        <v>264.19580500000001</v>
      </c>
      <c r="E129" s="92">
        <f t="shared" si="1"/>
        <v>43.75</v>
      </c>
      <c r="F129" s="12">
        <v>898575</v>
      </c>
      <c r="G129" s="12">
        <v>1757491</v>
      </c>
      <c r="H129" s="12" t="s">
        <v>3</v>
      </c>
      <c r="I129" s="11" t="s">
        <v>3</v>
      </c>
      <c r="J129" s="11" t="s">
        <v>3</v>
      </c>
      <c r="K129" s="115">
        <v>1864090</v>
      </c>
      <c r="L129" s="5" t="s">
        <v>3</v>
      </c>
      <c r="M129" s="5">
        <v>376510</v>
      </c>
      <c r="N129" s="5">
        <v>642841</v>
      </c>
      <c r="O129" s="5">
        <v>300309</v>
      </c>
      <c r="P129" s="5">
        <v>115085</v>
      </c>
      <c r="Q129" s="5">
        <v>247712</v>
      </c>
      <c r="R129" s="5">
        <v>184636</v>
      </c>
      <c r="S129" s="5">
        <v>276529</v>
      </c>
      <c r="T129" s="5">
        <v>138659</v>
      </c>
      <c r="U129" s="5">
        <v>108013</v>
      </c>
      <c r="V129" s="5">
        <v>265350</v>
      </c>
      <c r="W129" s="13">
        <v>2762723</v>
      </c>
      <c r="X129" s="13">
        <v>3217655</v>
      </c>
      <c r="Y129" s="13" t="s">
        <v>3</v>
      </c>
      <c r="Z129" s="40" t="s">
        <v>3</v>
      </c>
      <c r="AA129" s="6">
        <v>5955533</v>
      </c>
      <c r="AB129" s="6" t="s">
        <v>3</v>
      </c>
      <c r="AC129" s="8" t="s">
        <v>3</v>
      </c>
      <c r="AD129" s="8" t="s">
        <v>3</v>
      </c>
      <c r="AE129" s="3">
        <v>4888</v>
      </c>
      <c r="AF129" s="3">
        <v>7020</v>
      </c>
      <c r="AG129" s="3" t="s">
        <v>3</v>
      </c>
      <c r="AH129" s="3" t="s">
        <v>3</v>
      </c>
      <c r="AI129" s="1">
        <v>143214</v>
      </c>
      <c r="AJ129" s="2">
        <v>96930</v>
      </c>
      <c r="AK129" s="2">
        <v>96582</v>
      </c>
      <c r="AL129" s="2">
        <v>165842</v>
      </c>
      <c r="AM129" s="2" t="s">
        <v>3</v>
      </c>
      <c r="AN129" s="64" t="s">
        <v>3</v>
      </c>
      <c r="AO129" s="64" t="s">
        <v>3</v>
      </c>
      <c r="AP129" s="64" t="s">
        <v>3</v>
      </c>
      <c r="AQ129" s="64" t="s">
        <v>3</v>
      </c>
      <c r="AR129" s="64" t="s">
        <v>3</v>
      </c>
      <c r="AS129" s="42" t="s">
        <v>3</v>
      </c>
      <c r="AT129" s="42">
        <v>1822</v>
      </c>
      <c r="AU129" s="42" t="s">
        <v>3</v>
      </c>
      <c r="AV129" s="42">
        <v>1375</v>
      </c>
      <c r="AW129" s="53" t="s">
        <v>3</v>
      </c>
      <c r="AX129" s="53" t="s">
        <v>3</v>
      </c>
      <c r="AY129" s="57" t="s">
        <v>3</v>
      </c>
      <c r="AZ129" s="57" t="s">
        <v>3</v>
      </c>
      <c r="BA129" s="121" t="s">
        <v>3</v>
      </c>
      <c r="BB129" s="4" t="s">
        <v>3</v>
      </c>
      <c r="BC129" s="38" t="s">
        <v>3</v>
      </c>
      <c r="BD129" s="3">
        <v>51700</v>
      </c>
    </row>
    <row r="130" spans="1:56" ht="15" customHeight="1" x14ac:dyDescent="0.25">
      <c r="A130" s="38" t="s">
        <v>107</v>
      </c>
      <c r="B130" s="38" t="s">
        <v>138</v>
      </c>
      <c r="C130" s="38" t="s">
        <v>241</v>
      </c>
      <c r="D130" s="48">
        <v>280.19072</v>
      </c>
      <c r="E130" s="92">
        <f t="shared" si="1"/>
        <v>47.916666666666671</v>
      </c>
      <c r="F130" s="12">
        <v>49456</v>
      </c>
      <c r="G130" s="12">
        <v>91926</v>
      </c>
      <c r="H130" s="12" t="s">
        <v>3</v>
      </c>
      <c r="I130" s="11" t="s">
        <v>3</v>
      </c>
      <c r="J130" s="11" t="s">
        <v>3</v>
      </c>
      <c r="K130" s="115">
        <v>173396</v>
      </c>
      <c r="L130" s="5">
        <v>5595</v>
      </c>
      <c r="M130" s="5">
        <v>489614</v>
      </c>
      <c r="N130" s="5">
        <v>877067</v>
      </c>
      <c r="O130" s="5">
        <v>453344</v>
      </c>
      <c r="P130" s="5">
        <v>337634</v>
      </c>
      <c r="Q130" s="5">
        <v>737299</v>
      </c>
      <c r="R130" s="5">
        <v>165587</v>
      </c>
      <c r="S130" s="5">
        <v>464148</v>
      </c>
      <c r="T130" s="5">
        <v>112212</v>
      </c>
      <c r="U130" s="5">
        <v>256442</v>
      </c>
      <c r="V130" s="5">
        <v>289818</v>
      </c>
      <c r="W130" s="13">
        <v>29579196</v>
      </c>
      <c r="X130" s="13">
        <v>17878996</v>
      </c>
      <c r="Y130" s="13" t="s">
        <v>3</v>
      </c>
      <c r="Z130" s="40" t="s">
        <v>3</v>
      </c>
      <c r="AA130" s="6">
        <v>13371596</v>
      </c>
      <c r="AB130" s="6" t="s">
        <v>3</v>
      </c>
      <c r="AC130" s="8">
        <f>1646377</f>
        <v>1646377</v>
      </c>
      <c r="AD130" s="8" t="s">
        <v>3</v>
      </c>
      <c r="AE130" s="3">
        <v>8740</v>
      </c>
      <c r="AF130" s="3">
        <v>28148</v>
      </c>
      <c r="AG130" s="3" t="s">
        <v>3</v>
      </c>
      <c r="AH130" s="3" t="s">
        <v>3</v>
      </c>
      <c r="AI130" s="1">
        <v>83842</v>
      </c>
      <c r="AJ130" s="2">
        <v>51531</v>
      </c>
      <c r="AK130" s="2">
        <v>57842</v>
      </c>
      <c r="AL130" s="1">
        <v>23777</v>
      </c>
      <c r="AM130" s="1" t="s">
        <v>3</v>
      </c>
      <c r="AN130" s="64" t="s">
        <v>3</v>
      </c>
      <c r="AO130" s="64" t="s">
        <v>3</v>
      </c>
      <c r="AP130" s="64" t="s">
        <v>3</v>
      </c>
      <c r="AQ130" s="64" t="s">
        <v>3</v>
      </c>
      <c r="AR130" s="64" t="s">
        <v>3</v>
      </c>
      <c r="AS130" s="42" t="s">
        <v>3</v>
      </c>
      <c r="AT130" s="42">
        <v>5520</v>
      </c>
      <c r="AU130" s="42" t="s">
        <v>3</v>
      </c>
      <c r="AV130" s="42">
        <v>5185</v>
      </c>
      <c r="AW130" s="53" t="s">
        <v>3</v>
      </c>
      <c r="AX130" s="53" t="s">
        <v>3</v>
      </c>
      <c r="AY130" s="57" t="s">
        <v>3</v>
      </c>
      <c r="AZ130" s="57" t="s">
        <v>3</v>
      </c>
      <c r="BA130" s="121" t="s">
        <v>3</v>
      </c>
      <c r="BB130" s="4" t="s">
        <v>3</v>
      </c>
      <c r="BC130" s="38" t="s">
        <v>3</v>
      </c>
      <c r="BD130" s="3" t="s">
        <v>3</v>
      </c>
    </row>
    <row r="131" spans="1:56" ht="15" customHeight="1" x14ac:dyDescent="0.25">
      <c r="A131" s="38" t="s">
        <v>115</v>
      </c>
      <c r="B131" s="38" t="s">
        <v>138</v>
      </c>
      <c r="C131" s="38" t="s">
        <v>243</v>
      </c>
      <c r="D131" s="48">
        <v>120.05562399999999</v>
      </c>
      <c r="E131" s="92">
        <f t="shared" si="1"/>
        <v>60.416666666666664</v>
      </c>
      <c r="F131" s="12">
        <v>3445854</v>
      </c>
      <c r="G131" s="12">
        <v>6254381</v>
      </c>
      <c r="H131" s="12" t="s">
        <v>3</v>
      </c>
      <c r="I131" s="11" t="s">
        <v>3</v>
      </c>
      <c r="J131" s="11" t="s">
        <v>3</v>
      </c>
      <c r="K131" s="115">
        <v>1418894</v>
      </c>
      <c r="L131" s="5" t="s">
        <v>3</v>
      </c>
      <c r="M131" s="5">
        <v>2663927</v>
      </c>
      <c r="N131" s="5">
        <v>1174112</v>
      </c>
      <c r="O131" s="5">
        <v>258260</v>
      </c>
      <c r="P131" s="5">
        <v>485147</v>
      </c>
      <c r="Q131" s="5">
        <f>194742</f>
        <v>194742</v>
      </c>
      <c r="R131" s="5">
        <v>58640</v>
      </c>
      <c r="S131" s="5">
        <v>728834</v>
      </c>
      <c r="T131" s="5">
        <v>7945538</v>
      </c>
      <c r="U131" s="5">
        <v>926881</v>
      </c>
      <c r="V131" s="5">
        <v>71570</v>
      </c>
      <c r="W131" s="13">
        <v>18789054</v>
      </c>
      <c r="X131" s="13">
        <v>16405016</v>
      </c>
      <c r="Y131" s="13" t="s">
        <v>3</v>
      </c>
      <c r="Z131" s="40">
        <v>232739536</v>
      </c>
      <c r="AA131" s="6">
        <v>274707328</v>
      </c>
      <c r="AB131" s="6" t="s">
        <v>3</v>
      </c>
      <c r="AC131" s="8">
        <v>131637232</v>
      </c>
      <c r="AD131" s="8" t="s">
        <v>3</v>
      </c>
      <c r="AE131" s="3">
        <v>17044</v>
      </c>
      <c r="AF131" s="3">
        <v>22204</v>
      </c>
      <c r="AG131" s="3">
        <v>5096</v>
      </c>
      <c r="AH131" s="3">
        <v>6116</v>
      </c>
      <c r="AI131" s="1">
        <v>183746</v>
      </c>
      <c r="AJ131" s="2">
        <v>746485</v>
      </c>
      <c r="AK131" s="2">
        <v>456460</v>
      </c>
      <c r="AL131" s="1">
        <v>7611</v>
      </c>
      <c r="AM131" s="1" t="s">
        <v>3</v>
      </c>
      <c r="AN131" s="64" t="s">
        <v>3</v>
      </c>
      <c r="AO131" s="64" t="s">
        <v>3</v>
      </c>
      <c r="AP131" s="64" t="s">
        <v>3</v>
      </c>
      <c r="AQ131" s="64" t="s">
        <v>3</v>
      </c>
      <c r="AR131" s="64" t="s">
        <v>3</v>
      </c>
      <c r="AS131" s="42">
        <v>1128</v>
      </c>
      <c r="AT131" s="42">
        <v>14196</v>
      </c>
      <c r="AU131" s="42">
        <v>3553</v>
      </c>
      <c r="AV131" s="42">
        <v>16212</v>
      </c>
      <c r="AW131" s="53" t="s">
        <v>3</v>
      </c>
      <c r="AX131" s="53" t="s">
        <v>3</v>
      </c>
      <c r="AY131" s="57" t="s">
        <v>3</v>
      </c>
      <c r="AZ131" s="57">
        <v>172611</v>
      </c>
      <c r="BA131" s="121">
        <v>1934651</v>
      </c>
      <c r="BB131" s="5">
        <v>1388426.4820000001</v>
      </c>
      <c r="BC131" s="38" t="s">
        <v>137</v>
      </c>
      <c r="BD131" s="3">
        <v>182668</v>
      </c>
    </row>
    <row r="132" spans="1:56" ht="15" customHeight="1" x14ac:dyDescent="0.25">
      <c r="A132" s="38" t="s">
        <v>97</v>
      </c>
      <c r="B132" s="38" t="s">
        <v>138</v>
      </c>
      <c r="C132" s="38" t="s">
        <v>244</v>
      </c>
      <c r="D132" s="48">
        <v>164.04545300000001</v>
      </c>
      <c r="E132" s="92">
        <f t="shared" si="1"/>
        <v>18.75</v>
      </c>
      <c r="F132" s="12" t="s">
        <v>3</v>
      </c>
      <c r="G132" s="12" t="s">
        <v>3</v>
      </c>
      <c r="H132" s="12" t="s">
        <v>3</v>
      </c>
      <c r="I132" s="11" t="s">
        <v>3</v>
      </c>
      <c r="J132" s="11" t="s">
        <v>3</v>
      </c>
      <c r="K132" s="114" t="s">
        <v>3</v>
      </c>
      <c r="L132" s="5" t="s">
        <v>3</v>
      </c>
      <c r="M132" s="129">
        <v>89637</v>
      </c>
      <c r="N132" s="129">
        <v>23816</v>
      </c>
      <c r="O132" s="129">
        <v>8038</v>
      </c>
      <c r="P132" s="129">
        <v>14019</v>
      </c>
      <c r="Q132" s="129">
        <v>13015</v>
      </c>
      <c r="R132" s="129">
        <v>10404</v>
      </c>
      <c r="S132" s="129">
        <v>23471</v>
      </c>
      <c r="T132" s="129">
        <v>13811</v>
      </c>
      <c r="U132" s="5" t="s">
        <v>3</v>
      </c>
      <c r="V132" s="129">
        <v>10776</v>
      </c>
      <c r="W132" s="13" t="s">
        <v>3</v>
      </c>
      <c r="X132" s="13" t="s">
        <v>3</v>
      </c>
      <c r="Y132" s="13" t="s">
        <v>3</v>
      </c>
      <c r="Z132" s="40" t="s">
        <v>3</v>
      </c>
      <c r="AA132" s="6" t="s">
        <v>3</v>
      </c>
      <c r="AB132" s="6" t="s">
        <v>3</v>
      </c>
      <c r="AC132" s="8" t="s">
        <v>3</v>
      </c>
      <c r="AD132" s="8" t="s">
        <v>3</v>
      </c>
      <c r="AE132" s="3" t="s">
        <v>3</v>
      </c>
      <c r="AF132" s="3" t="s">
        <v>3</v>
      </c>
      <c r="AG132" s="3" t="s">
        <v>3</v>
      </c>
      <c r="AH132" s="3" t="s">
        <v>3</v>
      </c>
      <c r="AI132" s="1" t="s">
        <v>3</v>
      </c>
      <c r="AJ132" s="1" t="s">
        <v>3</v>
      </c>
      <c r="AK132" s="1" t="s">
        <v>3</v>
      </c>
      <c r="AL132" s="1" t="s">
        <v>3</v>
      </c>
      <c r="AM132" s="1" t="s">
        <v>3</v>
      </c>
      <c r="AN132" s="64" t="s">
        <v>3</v>
      </c>
      <c r="AO132" s="64" t="s">
        <v>3</v>
      </c>
      <c r="AP132" s="64" t="s">
        <v>3</v>
      </c>
      <c r="AQ132" s="64" t="s">
        <v>3</v>
      </c>
      <c r="AR132" s="64" t="s">
        <v>3</v>
      </c>
      <c r="AS132" s="42" t="s">
        <v>3</v>
      </c>
      <c r="AT132" s="42" t="s">
        <v>3</v>
      </c>
      <c r="AU132" s="42" t="s">
        <v>3</v>
      </c>
      <c r="AV132" s="42" t="s">
        <v>3</v>
      </c>
      <c r="AW132" s="53" t="s">
        <v>3</v>
      </c>
      <c r="AX132" s="53" t="s">
        <v>3</v>
      </c>
      <c r="AY132" s="57" t="s">
        <v>3</v>
      </c>
      <c r="AZ132" s="57" t="s">
        <v>3</v>
      </c>
      <c r="BA132" s="121" t="s">
        <v>3</v>
      </c>
      <c r="BB132" s="4" t="s">
        <v>3</v>
      </c>
      <c r="BC132" s="38" t="s">
        <v>3</v>
      </c>
      <c r="BD132" s="3">
        <v>9340</v>
      </c>
    </row>
    <row r="133" spans="1:56" ht="15" customHeight="1" x14ac:dyDescent="0.25">
      <c r="A133" s="38" t="s">
        <v>27</v>
      </c>
      <c r="B133" s="38" t="s">
        <v>139</v>
      </c>
      <c r="C133" s="38" t="s">
        <v>245</v>
      </c>
      <c r="D133" s="48">
        <v>213.963809</v>
      </c>
      <c r="E133" s="92">
        <f t="shared" ref="E133:E159" si="2">COUNTIF(L133:BA133,"&gt;1")/48*100</f>
        <v>60.416666666666664</v>
      </c>
      <c r="F133" s="12" t="s">
        <v>564</v>
      </c>
      <c r="G133" s="12" t="s">
        <v>564</v>
      </c>
      <c r="H133" s="12" t="s">
        <v>564</v>
      </c>
      <c r="I133" s="11" t="s">
        <v>3</v>
      </c>
      <c r="J133" s="11" t="s">
        <v>3</v>
      </c>
      <c r="K133" s="115">
        <v>212117</v>
      </c>
      <c r="L133" s="5">
        <v>122515</v>
      </c>
      <c r="M133" s="5">
        <v>2115555</v>
      </c>
      <c r="N133" s="5">
        <v>1310385</v>
      </c>
      <c r="O133" s="5">
        <v>1168637</v>
      </c>
      <c r="P133" s="5">
        <v>972108</v>
      </c>
      <c r="Q133" s="5">
        <v>1424033</v>
      </c>
      <c r="R133" s="5">
        <v>971513</v>
      </c>
      <c r="S133" s="5">
        <v>1651665</v>
      </c>
      <c r="T133" s="5">
        <v>1369766</v>
      </c>
      <c r="U133" s="5">
        <v>1140196</v>
      </c>
      <c r="V133" s="5">
        <v>2400216</v>
      </c>
      <c r="W133" s="14" t="s">
        <v>564</v>
      </c>
      <c r="X133" s="14" t="s">
        <v>564</v>
      </c>
      <c r="Y133" s="14" t="s">
        <v>564</v>
      </c>
      <c r="Z133" s="40">
        <v>49882076</v>
      </c>
      <c r="AA133" s="6">
        <v>44795280</v>
      </c>
      <c r="AB133" s="6">
        <v>28407</v>
      </c>
      <c r="AC133" s="8">
        <v>11339452</v>
      </c>
      <c r="AD133" s="8" t="s">
        <v>3</v>
      </c>
      <c r="AE133" s="3">
        <v>1124</v>
      </c>
      <c r="AF133" s="3">
        <v>3608</v>
      </c>
      <c r="AG133" s="3" t="s">
        <v>3</v>
      </c>
      <c r="AH133" s="3">
        <v>332</v>
      </c>
      <c r="AI133" s="1">
        <v>101985</v>
      </c>
      <c r="AJ133" s="1" t="s">
        <v>564</v>
      </c>
      <c r="AK133" s="2">
        <v>646386</v>
      </c>
      <c r="AL133" s="2">
        <v>223911</v>
      </c>
      <c r="AM133" s="1" t="s">
        <v>564</v>
      </c>
      <c r="AN133" s="64" t="s">
        <v>564</v>
      </c>
      <c r="AO133" s="64" t="s">
        <v>564</v>
      </c>
      <c r="AP133" s="64" t="s">
        <v>564</v>
      </c>
      <c r="AQ133" s="64" t="s">
        <v>564</v>
      </c>
      <c r="AR133" s="64" t="s">
        <v>564</v>
      </c>
      <c r="AS133" s="42">
        <v>2637</v>
      </c>
      <c r="AT133" s="42">
        <v>5302</v>
      </c>
      <c r="AU133" s="42">
        <v>3596</v>
      </c>
      <c r="AV133" s="42">
        <v>6552</v>
      </c>
      <c r="AW133" s="53">
        <v>3027</v>
      </c>
      <c r="AX133" s="53" t="s">
        <v>3</v>
      </c>
      <c r="AY133" s="57">
        <v>61642</v>
      </c>
      <c r="AZ133" s="57">
        <v>409912</v>
      </c>
      <c r="BA133" s="121">
        <v>343214</v>
      </c>
      <c r="BB133" s="5">
        <v>6361224.5070000002</v>
      </c>
      <c r="BC133" s="38" t="s">
        <v>131</v>
      </c>
      <c r="BD133" s="3" t="s">
        <v>3</v>
      </c>
    </row>
    <row r="134" spans="1:56" ht="15" customHeight="1" x14ac:dyDescent="0.25">
      <c r="A134" s="38" t="s">
        <v>28</v>
      </c>
      <c r="B134" s="38" t="s">
        <v>139</v>
      </c>
      <c r="C134" s="38" t="s">
        <v>246</v>
      </c>
      <c r="D134" s="48">
        <v>201.98156700000001</v>
      </c>
      <c r="E134" s="92">
        <f t="shared" si="2"/>
        <v>45.833333333333329</v>
      </c>
      <c r="F134" s="12" t="s">
        <v>564</v>
      </c>
      <c r="G134" s="12" t="s">
        <v>564</v>
      </c>
      <c r="H134" s="12" t="s">
        <v>564</v>
      </c>
      <c r="I134" s="11" t="s">
        <v>3</v>
      </c>
      <c r="J134" s="11" t="s">
        <v>3</v>
      </c>
      <c r="K134" s="115">
        <v>70703</v>
      </c>
      <c r="L134" s="5" t="s">
        <v>3</v>
      </c>
      <c r="M134" s="5">
        <v>114826</v>
      </c>
      <c r="N134" s="5">
        <v>65063</v>
      </c>
      <c r="O134" s="5">
        <v>114990</v>
      </c>
      <c r="P134" s="5">
        <v>199842</v>
      </c>
      <c r="Q134" s="5">
        <v>763977</v>
      </c>
      <c r="R134" s="5">
        <v>39074</v>
      </c>
      <c r="S134" s="5">
        <v>145765</v>
      </c>
      <c r="T134" s="5">
        <v>26233</v>
      </c>
      <c r="U134" s="5">
        <v>844607</v>
      </c>
      <c r="V134" s="5">
        <v>4649582</v>
      </c>
      <c r="W134" s="14" t="s">
        <v>564</v>
      </c>
      <c r="X134" s="14" t="s">
        <v>564</v>
      </c>
      <c r="Y134" s="14" t="s">
        <v>564</v>
      </c>
      <c r="Z134" s="40">
        <v>2234542</v>
      </c>
      <c r="AA134" s="6">
        <f>1770526</f>
        <v>1770526</v>
      </c>
      <c r="AB134" s="6" t="s">
        <v>3</v>
      </c>
      <c r="AC134" s="8">
        <v>985975</v>
      </c>
      <c r="AD134" s="8" t="s">
        <v>3</v>
      </c>
      <c r="AE134" s="3">
        <v>1396</v>
      </c>
      <c r="AF134" s="3">
        <v>49052</v>
      </c>
      <c r="AG134" s="3" t="s">
        <v>3</v>
      </c>
      <c r="AH134" s="3" t="s">
        <v>3</v>
      </c>
      <c r="AI134" s="1">
        <v>69470</v>
      </c>
      <c r="AJ134" s="1" t="s">
        <v>564</v>
      </c>
      <c r="AK134" s="2">
        <v>119695</v>
      </c>
      <c r="AL134" s="2">
        <v>237133</v>
      </c>
      <c r="AM134" s="1" t="s">
        <v>564</v>
      </c>
      <c r="AN134" s="64" t="s">
        <v>564</v>
      </c>
      <c r="AO134" s="64" t="s">
        <v>564</v>
      </c>
      <c r="AP134" s="64" t="s">
        <v>564</v>
      </c>
      <c r="AQ134" s="64" t="s">
        <v>564</v>
      </c>
      <c r="AR134" s="64" t="s">
        <v>564</v>
      </c>
      <c r="AS134" s="42" t="s">
        <v>3</v>
      </c>
      <c r="AT134" s="42">
        <v>2503</v>
      </c>
      <c r="AU134" s="42" t="s">
        <v>3</v>
      </c>
      <c r="AV134" s="42">
        <v>2248</v>
      </c>
      <c r="AW134" s="53" t="s">
        <v>3</v>
      </c>
      <c r="AX134" s="53" t="s">
        <v>3</v>
      </c>
      <c r="AY134" s="57">
        <v>15452</v>
      </c>
      <c r="AZ134" s="57">
        <v>16387</v>
      </c>
      <c r="BA134" s="121" t="s">
        <v>3</v>
      </c>
      <c r="BB134" s="4" t="s">
        <v>3</v>
      </c>
      <c r="BC134" s="38" t="s">
        <v>131</v>
      </c>
      <c r="BD134" s="3">
        <v>2344</v>
      </c>
    </row>
    <row r="135" spans="1:56" ht="15" customHeight="1" x14ac:dyDescent="0.25">
      <c r="A135" s="38" t="s">
        <v>29</v>
      </c>
      <c r="B135" s="38" t="s">
        <v>139</v>
      </c>
      <c r="C135" s="38" t="s">
        <v>247</v>
      </c>
      <c r="D135" s="48">
        <v>172.99140299999999</v>
      </c>
      <c r="E135" s="92">
        <f t="shared" si="2"/>
        <v>35.416666666666671</v>
      </c>
      <c r="F135" s="12" t="s">
        <v>564</v>
      </c>
      <c r="G135" s="12" t="s">
        <v>564</v>
      </c>
      <c r="H135" s="12" t="s">
        <v>564</v>
      </c>
      <c r="I135" s="11" t="s">
        <v>3</v>
      </c>
      <c r="J135" s="11" t="s">
        <v>3</v>
      </c>
      <c r="K135" s="114" t="s">
        <v>3</v>
      </c>
      <c r="L135" s="5">
        <v>3942</v>
      </c>
      <c r="M135" s="5">
        <v>25952</v>
      </c>
      <c r="N135" s="5">
        <v>22536</v>
      </c>
      <c r="O135" s="5">
        <v>50859</v>
      </c>
      <c r="P135" s="5">
        <v>52168</v>
      </c>
      <c r="Q135" s="5">
        <v>58837</v>
      </c>
      <c r="R135" s="5">
        <v>37141</v>
      </c>
      <c r="S135" s="5">
        <v>47316</v>
      </c>
      <c r="T135" s="5">
        <v>84073</v>
      </c>
      <c r="U135" s="5">
        <v>41966</v>
      </c>
      <c r="V135" s="5">
        <v>30530</v>
      </c>
      <c r="W135" s="14" t="s">
        <v>564</v>
      </c>
      <c r="X135" s="14" t="s">
        <v>564</v>
      </c>
      <c r="Y135" s="14" t="s">
        <v>564</v>
      </c>
      <c r="Z135" s="40">
        <v>373445</v>
      </c>
      <c r="AA135" s="6">
        <v>525573</v>
      </c>
      <c r="AB135" s="6" t="s">
        <v>3</v>
      </c>
      <c r="AC135" s="8">
        <v>91182</v>
      </c>
      <c r="AD135" s="8" t="s">
        <v>3</v>
      </c>
      <c r="AE135" s="3">
        <v>2448</v>
      </c>
      <c r="AF135" s="3" t="s">
        <v>3</v>
      </c>
      <c r="AG135" s="3" t="s">
        <v>3</v>
      </c>
      <c r="AH135" s="3" t="s">
        <v>3</v>
      </c>
      <c r="AI135" s="1" t="s">
        <v>3</v>
      </c>
      <c r="AJ135" s="1" t="s">
        <v>564</v>
      </c>
      <c r="AK135" s="2">
        <v>29712</v>
      </c>
      <c r="AL135" s="2">
        <v>11766</v>
      </c>
      <c r="AM135" s="1" t="s">
        <v>564</v>
      </c>
      <c r="AN135" s="64" t="s">
        <v>564</v>
      </c>
      <c r="AO135" s="64" t="s">
        <v>564</v>
      </c>
      <c r="AP135" s="64" t="s">
        <v>564</v>
      </c>
      <c r="AQ135" s="64" t="s">
        <v>564</v>
      </c>
      <c r="AR135" s="64" t="s">
        <v>564</v>
      </c>
      <c r="AS135" s="42" t="s">
        <v>3</v>
      </c>
      <c r="AT135" s="42" t="s">
        <v>3</v>
      </c>
      <c r="AU135" s="42" t="s">
        <v>3</v>
      </c>
      <c r="AV135" s="42" t="s">
        <v>3</v>
      </c>
      <c r="AW135" s="53" t="s">
        <v>3</v>
      </c>
      <c r="AX135" s="53" t="s">
        <v>3</v>
      </c>
      <c r="AY135" s="57" t="s">
        <v>3</v>
      </c>
      <c r="AZ135" s="57" t="s">
        <v>3</v>
      </c>
      <c r="BA135" s="121" t="s">
        <v>3</v>
      </c>
      <c r="BB135" s="4" t="s">
        <v>3</v>
      </c>
      <c r="BC135" s="38" t="s">
        <v>3</v>
      </c>
      <c r="BD135" s="3" t="s">
        <v>3</v>
      </c>
    </row>
    <row r="136" spans="1:56" ht="15" customHeight="1" x14ac:dyDescent="0.25">
      <c r="A136" s="38" t="s">
        <v>30</v>
      </c>
      <c r="B136" s="38" t="s">
        <v>139</v>
      </c>
      <c r="C136" s="38" t="s">
        <v>248</v>
      </c>
      <c r="D136" s="48">
        <v>199.04343900000001</v>
      </c>
      <c r="E136" s="92">
        <f t="shared" si="2"/>
        <v>54.166666666666664</v>
      </c>
      <c r="F136" s="12" t="s">
        <v>564</v>
      </c>
      <c r="G136" s="12" t="s">
        <v>564</v>
      </c>
      <c r="H136" s="12" t="s">
        <v>564</v>
      </c>
      <c r="I136" s="11" t="s">
        <v>3</v>
      </c>
      <c r="J136" s="11" t="s">
        <v>3</v>
      </c>
      <c r="K136" s="115">
        <v>464226</v>
      </c>
      <c r="L136" s="5" t="s">
        <v>3</v>
      </c>
      <c r="M136" s="5">
        <v>850364</v>
      </c>
      <c r="N136" s="5">
        <v>2003763</v>
      </c>
      <c r="O136" s="5">
        <v>689358</v>
      </c>
      <c r="P136" s="5">
        <v>2199094</v>
      </c>
      <c r="Q136" s="5">
        <v>812714</v>
      </c>
      <c r="R136" s="5">
        <v>4575764</v>
      </c>
      <c r="S136" s="5">
        <v>5854817</v>
      </c>
      <c r="T136" s="5">
        <v>22045306</v>
      </c>
      <c r="U136" s="5">
        <v>7119884</v>
      </c>
      <c r="V136" s="5">
        <v>54940</v>
      </c>
      <c r="W136" s="14" t="s">
        <v>564</v>
      </c>
      <c r="X136" s="14" t="s">
        <v>564</v>
      </c>
      <c r="Y136" s="14" t="s">
        <v>564</v>
      </c>
      <c r="Z136" s="40">
        <v>121242944</v>
      </c>
      <c r="AA136" s="6">
        <v>11946639</v>
      </c>
      <c r="AB136" s="6">
        <v>86357</v>
      </c>
      <c r="AC136" s="8">
        <v>21333500</v>
      </c>
      <c r="AD136" s="8" t="s">
        <v>3</v>
      </c>
      <c r="AE136" s="3">
        <v>140780</v>
      </c>
      <c r="AF136" s="3" t="s">
        <v>3</v>
      </c>
      <c r="AG136" s="3">
        <v>848</v>
      </c>
      <c r="AH136" s="3">
        <v>3168</v>
      </c>
      <c r="AI136" s="1" t="s">
        <v>3</v>
      </c>
      <c r="AJ136" s="1" t="s">
        <v>564</v>
      </c>
      <c r="AK136" s="2">
        <v>152456</v>
      </c>
      <c r="AL136" s="2">
        <v>300470</v>
      </c>
      <c r="AM136" s="1" t="s">
        <v>564</v>
      </c>
      <c r="AN136" s="64" t="s">
        <v>564</v>
      </c>
      <c r="AO136" s="64" t="s">
        <v>564</v>
      </c>
      <c r="AP136" s="64" t="s">
        <v>564</v>
      </c>
      <c r="AQ136" s="64" t="s">
        <v>564</v>
      </c>
      <c r="AR136" s="64" t="s">
        <v>564</v>
      </c>
      <c r="AS136" s="42">
        <v>4810</v>
      </c>
      <c r="AT136" s="42">
        <v>5057</v>
      </c>
      <c r="AU136" s="42" t="s">
        <v>3</v>
      </c>
      <c r="AV136" s="42">
        <v>3855</v>
      </c>
      <c r="AW136" s="53">
        <v>101585</v>
      </c>
      <c r="AX136" s="53" t="s">
        <v>3</v>
      </c>
      <c r="AY136" s="57">
        <v>2119592</v>
      </c>
      <c r="AZ136" s="57">
        <v>80321</v>
      </c>
      <c r="BA136" s="121">
        <v>237950</v>
      </c>
      <c r="BB136" s="4" t="s">
        <v>3</v>
      </c>
      <c r="BC136" s="38" t="s">
        <v>131</v>
      </c>
      <c r="BD136" s="3">
        <v>14380</v>
      </c>
    </row>
    <row r="137" spans="1:56" ht="15" customHeight="1" x14ac:dyDescent="0.25">
      <c r="A137" s="38" t="s">
        <v>31</v>
      </c>
      <c r="B137" s="38" t="s">
        <v>139</v>
      </c>
      <c r="C137" s="38" t="s">
        <v>249</v>
      </c>
      <c r="D137" s="48">
        <v>151.04006799999999</v>
      </c>
      <c r="E137" s="92">
        <f t="shared" si="2"/>
        <v>8.3333333333333321</v>
      </c>
      <c r="F137" s="12" t="s">
        <v>564</v>
      </c>
      <c r="G137" s="12" t="s">
        <v>564</v>
      </c>
      <c r="H137" s="12" t="s">
        <v>564</v>
      </c>
      <c r="I137" s="11" t="s">
        <v>3</v>
      </c>
      <c r="J137" s="11" t="s">
        <v>3</v>
      </c>
      <c r="K137" s="114" t="s">
        <v>3</v>
      </c>
      <c r="L137" s="5" t="s">
        <v>3</v>
      </c>
      <c r="M137" s="5" t="s">
        <v>3</v>
      </c>
      <c r="N137" s="5" t="s">
        <v>3</v>
      </c>
      <c r="O137" s="5" t="s">
        <v>3</v>
      </c>
      <c r="P137" s="5" t="s">
        <v>3</v>
      </c>
      <c r="Q137" s="5" t="s">
        <v>3</v>
      </c>
      <c r="R137" s="5" t="s">
        <v>3</v>
      </c>
      <c r="S137" s="5" t="s">
        <v>3</v>
      </c>
      <c r="T137" s="5" t="s">
        <v>3</v>
      </c>
      <c r="U137" s="5" t="s">
        <v>3</v>
      </c>
      <c r="V137" s="5" t="s">
        <v>3</v>
      </c>
      <c r="W137" s="14" t="s">
        <v>564</v>
      </c>
      <c r="X137" s="14" t="s">
        <v>564</v>
      </c>
      <c r="Y137" s="14" t="s">
        <v>564</v>
      </c>
      <c r="Z137" s="40" t="s">
        <v>3</v>
      </c>
      <c r="AA137" s="6" t="s">
        <v>3</v>
      </c>
      <c r="AB137" s="6" t="s">
        <v>3</v>
      </c>
      <c r="AC137" s="8" t="s">
        <v>3</v>
      </c>
      <c r="AD137" s="8" t="s">
        <v>3</v>
      </c>
      <c r="AE137" s="3">
        <v>9964</v>
      </c>
      <c r="AF137" s="3">
        <v>1356</v>
      </c>
      <c r="AG137" s="3" t="s">
        <v>3</v>
      </c>
      <c r="AH137" s="3">
        <v>1892</v>
      </c>
      <c r="AI137" s="1" t="s">
        <v>3</v>
      </c>
      <c r="AJ137" s="1" t="s">
        <v>564</v>
      </c>
      <c r="AK137" s="2">
        <v>11872</v>
      </c>
      <c r="AL137" s="1" t="s">
        <v>3</v>
      </c>
      <c r="AM137" s="1" t="s">
        <v>564</v>
      </c>
      <c r="AN137" s="64" t="s">
        <v>564</v>
      </c>
      <c r="AO137" s="64" t="s">
        <v>564</v>
      </c>
      <c r="AP137" s="64" t="s">
        <v>564</v>
      </c>
      <c r="AQ137" s="64" t="s">
        <v>564</v>
      </c>
      <c r="AR137" s="64" t="s">
        <v>564</v>
      </c>
      <c r="AS137" s="42" t="s">
        <v>3</v>
      </c>
      <c r="AT137" s="42" t="s">
        <v>3</v>
      </c>
      <c r="AU137" s="42" t="s">
        <v>3</v>
      </c>
      <c r="AV137" s="42" t="s">
        <v>3</v>
      </c>
      <c r="AW137" s="53" t="s">
        <v>3</v>
      </c>
      <c r="AX137" s="53" t="s">
        <v>3</v>
      </c>
      <c r="AY137" s="57" t="s">
        <v>3</v>
      </c>
      <c r="AZ137" s="57" t="s">
        <v>3</v>
      </c>
      <c r="BA137" s="121" t="s">
        <v>3</v>
      </c>
      <c r="BB137" s="4" t="s">
        <v>3</v>
      </c>
      <c r="BC137" s="38" t="s">
        <v>3</v>
      </c>
      <c r="BD137" s="3">
        <v>1116</v>
      </c>
    </row>
    <row r="138" spans="1:56" ht="15" customHeight="1" x14ac:dyDescent="0.25">
      <c r="A138" s="38" t="s">
        <v>32</v>
      </c>
      <c r="B138" s="38" t="s">
        <v>139</v>
      </c>
      <c r="C138" s="38" t="s">
        <v>250</v>
      </c>
      <c r="D138" s="48">
        <v>219.17543900000001</v>
      </c>
      <c r="E138" s="92">
        <f t="shared" si="2"/>
        <v>20.833333333333336</v>
      </c>
      <c r="F138" s="12" t="s">
        <v>564</v>
      </c>
      <c r="G138" s="12" t="s">
        <v>564</v>
      </c>
      <c r="H138" s="12" t="s">
        <v>564</v>
      </c>
      <c r="I138" s="11" t="s">
        <v>3</v>
      </c>
      <c r="J138" s="11" t="s">
        <v>3</v>
      </c>
      <c r="K138" s="114" t="s">
        <v>3</v>
      </c>
      <c r="L138" s="5" t="s">
        <v>3</v>
      </c>
      <c r="M138" s="5" t="s">
        <v>3</v>
      </c>
      <c r="N138" s="5" t="s">
        <v>3</v>
      </c>
      <c r="O138" s="5" t="s">
        <v>3</v>
      </c>
      <c r="P138" s="5" t="s">
        <v>3</v>
      </c>
      <c r="Q138" s="5">
        <v>4450</v>
      </c>
      <c r="R138" s="5" t="s">
        <v>3</v>
      </c>
      <c r="S138" s="5">
        <v>6100</v>
      </c>
      <c r="T138" s="5">
        <v>12561</v>
      </c>
      <c r="U138" s="5">
        <v>6941</v>
      </c>
      <c r="V138" s="5" t="s">
        <v>3</v>
      </c>
      <c r="W138" s="14" t="s">
        <v>564</v>
      </c>
      <c r="X138" s="14" t="s">
        <v>564</v>
      </c>
      <c r="Y138" s="14" t="s">
        <v>564</v>
      </c>
      <c r="Z138" s="40" t="s">
        <v>3</v>
      </c>
      <c r="AA138" s="6" t="s">
        <v>3</v>
      </c>
      <c r="AB138" s="6" t="s">
        <v>3</v>
      </c>
      <c r="AC138" s="8" t="s">
        <v>3</v>
      </c>
      <c r="AD138" s="8" t="s">
        <v>3</v>
      </c>
      <c r="AE138" s="3">
        <v>912</v>
      </c>
      <c r="AF138" s="3">
        <v>516</v>
      </c>
      <c r="AG138" s="3">
        <v>1084</v>
      </c>
      <c r="AH138" s="3">
        <v>928</v>
      </c>
      <c r="AI138" s="1" t="s">
        <v>3</v>
      </c>
      <c r="AJ138" s="1" t="s">
        <v>564</v>
      </c>
      <c r="AK138" s="2">
        <v>160707</v>
      </c>
      <c r="AL138" s="2">
        <v>8969</v>
      </c>
      <c r="AM138" s="1" t="s">
        <v>564</v>
      </c>
      <c r="AN138" s="64" t="s">
        <v>564</v>
      </c>
      <c r="AO138" s="64" t="s">
        <v>564</v>
      </c>
      <c r="AP138" s="64" t="s">
        <v>564</v>
      </c>
      <c r="AQ138" s="64" t="s">
        <v>564</v>
      </c>
      <c r="AR138" s="64" t="s">
        <v>564</v>
      </c>
      <c r="AS138" s="42" t="s">
        <v>3</v>
      </c>
      <c r="AT138" s="42" t="s">
        <v>3</v>
      </c>
      <c r="AU138" s="42" t="s">
        <v>3</v>
      </c>
      <c r="AV138" s="42" t="s">
        <v>3</v>
      </c>
      <c r="AW138" s="53" t="s">
        <v>3</v>
      </c>
      <c r="AX138" s="53" t="s">
        <v>3</v>
      </c>
      <c r="AY138" s="57" t="s">
        <v>3</v>
      </c>
      <c r="AZ138" s="57" t="s">
        <v>3</v>
      </c>
      <c r="BA138" s="121" t="s">
        <v>3</v>
      </c>
      <c r="BB138" s="4" t="s">
        <v>3</v>
      </c>
      <c r="BC138" s="38" t="s">
        <v>3</v>
      </c>
      <c r="BD138" s="3" t="s">
        <v>3</v>
      </c>
    </row>
    <row r="139" spans="1:56" ht="15" customHeight="1" x14ac:dyDescent="0.25">
      <c r="A139" s="38" t="s">
        <v>124</v>
      </c>
      <c r="B139" s="38" t="s">
        <v>139</v>
      </c>
      <c r="C139" s="38" t="s">
        <v>251</v>
      </c>
      <c r="D139" s="48">
        <v>205.15978899999999</v>
      </c>
      <c r="E139" s="92">
        <f t="shared" si="2"/>
        <v>12.5</v>
      </c>
      <c r="F139" s="12" t="s">
        <v>564</v>
      </c>
      <c r="G139" s="12" t="s">
        <v>564</v>
      </c>
      <c r="H139" s="12" t="s">
        <v>564</v>
      </c>
      <c r="I139" s="11" t="s">
        <v>3</v>
      </c>
      <c r="J139" s="11" t="s">
        <v>3</v>
      </c>
      <c r="K139" s="114" t="s">
        <v>3</v>
      </c>
      <c r="L139" s="5" t="s">
        <v>3</v>
      </c>
      <c r="M139" s="5" t="s">
        <v>3</v>
      </c>
      <c r="N139" s="5" t="s">
        <v>3</v>
      </c>
      <c r="O139" s="5" t="s">
        <v>3</v>
      </c>
      <c r="P139" s="5" t="s">
        <v>3</v>
      </c>
      <c r="Q139" s="5" t="s">
        <v>3</v>
      </c>
      <c r="R139" s="5" t="s">
        <v>3</v>
      </c>
      <c r="S139" s="5" t="s">
        <v>3</v>
      </c>
      <c r="T139" s="5" t="s">
        <v>3</v>
      </c>
      <c r="U139" s="5" t="s">
        <v>3</v>
      </c>
      <c r="V139" s="5" t="s">
        <v>3</v>
      </c>
      <c r="W139" s="14" t="s">
        <v>564</v>
      </c>
      <c r="X139" s="14" t="s">
        <v>564</v>
      </c>
      <c r="Y139" s="14" t="s">
        <v>564</v>
      </c>
      <c r="Z139" s="40" t="s">
        <v>3</v>
      </c>
      <c r="AA139" s="132">
        <v>1338379</v>
      </c>
      <c r="AB139" s="6" t="s">
        <v>3</v>
      </c>
      <c r="AC139" s="8" t="s">
        <v>3</v>
      </c>
      <c r="AD139" s="8" t="s">
        <v>3</v>
      </c>
      <c r="AE139" s="3">
        <v>33988</v>
      </c>
      <c r="AF139" s="3">
        <v>17636</v>
      </c>
      <c r="AG139" s="3">
        <v>6076</v>
      </c>
      <c r="AH139" s="3">
        <v>12860</v>
      </c>
      <c r="AI139" s="1" t="s">
        <v>3</v>
      </c>
      <c r="AJ139" s="1" t="s">
        <v>564</v>
      </c>
      <c r="AK139" s="2">
        <v>15762</v>
      </c>
      <c r="AL139" s="1" t="s">
        <v>3</v>
      </c>
      <c r="AM139" s="1" t="s">
        <v>564</v>
      </c>
      <c r="AN139" s="64" t="s">
        <v>564</v>
      </c>
      <c r="AO139" s="64" t="s">
        <v>564</v>
      </c>
      <c r="AP139" s="64" t="s">
        <v>564</v>
      </c>
      <c r="AQ139" s="64" t="s">
        <v>564</v>
      </c>
      <c r="AR139" s="64" t="s">
        <v>564</v>
      </c>
      <c r="AS139" s="42" t="s">
        <v>3</v>
      </c>
      <c r="AT139" s="42" t="s">
        <v>3</v>
      </c>
      <c r="AU139" s="42" t="s">
        <v>3</v>
      </c>
      <c r="AV139" s="42" t="s">
        <v>3</v>
      </c>
      <c r="AW139" s="53" t="s">
        <v>3</v>
      </c>
      <c r="AX139" s="53" t="s">
        <v>3</v>
      </c>
      <c r="AY139" s="57" t="s">
        <v>3</v>
      </c>
      <c r="AZ139" s="57" t="s">
        <v>3</v>
      </c>
      <c r="BA139" s="121" t="s">
        <v>3</v>
      </c>
      <c r="BB139" s="4" t="s">
        <v>3</v>
      </c>
      <c r="BC139" s="38" t="s">
        <v>3</v>
      </c>
      <c r="BD139" s="3">
        <v>14184</v>
      </c>
    </row>
    <row r="140" spans="1:56" ht="15" customHeight="1" x14ac:dyDescent="0.25">
      <c r="A140" s="38" t="s">
        <v>124</v>
      </c>
      <c r="B140" s="38" t="s">
        <v>139</v>
      </c>
      <c r="C140" s="38" t="s">
        <v>251</v>
      </c>
      <c r="D140" s="48">
        <v>205.15978899999999</v>
      </c>
      <c r="E140" s="92">
        <f t="shared" si="2"/>
        <v>12.5</v>
      </c>
      <c r="F140" s="12" t="s">
        <v>564</v>
      </c>
      <c r="G140" s="12" t="s">
        <v>564</v>
      </c>
      <c r="H140" s="12" t="s">
        <v>564</v>
      </c>
      <c r="I140" s="11" t="s">
        <v>3</v>
      </c>
      <c r="J140" s="11" t="s">
        <v>3</v>
      </c>
      <c r="K140" s="114" t="s">
        <v>3</v>
      </c>
      <c r="L140" s="5" t="s">
        <v>3</v>
      </c>
      <c r="M140" s="5" t="s">
        <v>3</v>
      </c>
      <c r="N140" s="5" t="s">
        <v>3</v>
      </c>
      <c r="O140" s="5" t="s">
        <v>3</v>
      </c>
      <c r="P140" s="5" t="s">
        <v>3</v>
      </c>
      <c r="Q140" s="5" t="s">
        <v>3</v>
      </c>
      <c r="R140" s="5" t="s">
        <v>3</v>
      </c>
      <c r="S140" s="5" t="s">
        <v>3</v>
      </c>
      <c r="T140" s="5" t="s">
        <v>3</v>
      </c>
      <c r="U140" s="5" t="s">
        <v>3</v>
      </c>
      <c r="V140" s="5" t="s">
        <v>3</v>
      </c>
      <c r="W140" s="14" t="s">
        <v>564</v>
      </c>
      <c r="X140" s="14" t="s">
        <v>564</v>
      </c>
      <c r="Y140" s="14" t="s">
        <v>564</v>
      </c>
      <c r="Z140" s="40" t="s">
        <v>3</v>
      </c>
      <c r="AA140" s="132">
        <v>1338379</v>
      </c>
      <c r="AB140" s="6" t="s">
        <v>3</v>
      </c>
      <c r="AC140" s="8" t="s">
        <v>3</v>
      </c>
      <c r="AD140" s="8" t="s">
        <v>3</v>
      </c>
      <c r="AE140" s="3">
        <v>33988</v>
      </c>
      <c r="AF140" s="3">
        <v>17636</v>
      </c>
      <c r="AG140" s="3">
        <v>6076</v>
      </c>
      <c r="AH140" s="3">
        <v>12860</v>
      </c>
      <c r="AI140" s="1" t="s">
        <v>3</v>
      </c>
      <c r="AJ140" s="1" t="s">
        <v>564</v>
      </c>
      <c r="AK140" s="2">
        <v>15762</v>
      </c>
      <c r="AL140" s="1" t="s">
        <v>3</v>
      </c>
      <c r="AM140" s="1" t="s">
        <v>564</v>
      </c>
      <c r="AN140" s="64" t="s">
        <v>564</v>
      </c>
      <c r="AO140" s="64" t="s">
        <v>564</v>
      </c>
      <c r="AP140" s="64" t="s">
        <v>564</v>
      </c>
      <c r="AQ140" s="64" t="s">
        <v>564</v>
      </c>
      <c r="AR140" s="64" t="s">
        <v>564</v>
      </c>
      <c r="AS140" s="42" t="s">
        <v>3</v>
      </c>
      <c r="AT140" s="42" t="s">
        <v>3</v>
      </c>
      <c r="AU140" s="42" t="s">
        <v>3</v>
      </c>
      <c r="AV140" s="42" t="s">
        <v>3</v>
      </c>
      <c r="AW140" s="53" t="s">
        <v>3</v>
      </c>
      <c r="AX140" s="53" t="s">
        <v>3</v>
      </c>
      <c r="AY140" s="57" t="s">
        <v>3</v>
      </c>
      <c r="AZ140" s="57" t="s">
        <v>3</v>
      </c>
      <c r="BA140" s="121" t="s">
        <v>3</v>
      </c>
      <c r="BB140" s="4" t="s">
        <v>3</v>
      </c>
      <c r="BC140" s="38" t="s">
        <v>3</v>
      </c>
      <c r="BD140" s="3">
        <v>14184</v>
      </c>
    </row>
    <row r="141" spans="1:56" ht="15" customHeight="1" x14ac:dyDescent="0.25">
      <c r="A141" s="38" t="s">
        <v>33</v>
      </c>
      <c r="B141" s="38" t="s">
        <v>139</v>
      </c>
      <c r="C141" s="38" t="s">
        <v>252</v>
      </c>
      <c r="D141" s="48">
        <v>227.107753</v>
      </c>
      <c r="E141" s="92">
        <f t="shared" si="2"/>
        <v>6.25</v>
      </c>
      <c r="F141" s="12" t="s">
        <v>564</v>
      </c>
      <c r="G141" s="12" t="s">
        <v>564</v>
      </c>
      <c r="H141" s="12" t="s">
        <v>564</v>
      </c>
      <c r="I141" s="11" t="s">
        <v>3</v>
      </c>
      <c r="J141" s="11" t="s">
        <v>3</v>
      </c>
      <c r="K141" s="114" t="s">
        <v>3</v>
      </c>
      <c r="L141" s="5" t="s">
        <v>3</v>
      </c>
      <c r="M141" s="5" t="s">
        <v>3</v>
      </c>
      <c r="N141" s="5" t="s">
        <v>3</v>
      </c>
      <c r="O141" s="5" t="s">
        <v>3</v>
      </c>
      <c r="P141" s="5" t="s">
        <v>3</v>
      </c>
      <c r="Q141" s="5" t="s">
        <v>3</v>
      </c>
      <c r="R141" s="5" t="s">
        <v>3</v>
      </c>
      <c r="S141" s="5" t="s">
        <v>3</v>
      </c>
      <c r="T141" s="5" t="s">
        <v>3</v>
      </c>
      <c r="U141" s="5" t="s">
        <v>3</v>
      </c>
      <c r="V141" s="5" t="s">
        <v>3</v>
      </c>
      <c r="W141" s="14" t="s">
        <v>564</v>
      </c>
      <c r="X141" s="14" t="s">
        <v>564</v>
      </c>
      <c r="Y141" s="14" t="s">
        <v>564</v>
      </c>
      <c r="Z141" s="40" t="s">
        <v>3</v>
      </c>
      <c r="AA141" s="132">
        <f>16.125*60</f>
        <v>967.5</v>
      </c>
      <c r="AB141" s="6" t="s">
        <v>3</v>
      </c>
      <c r="AC141" s="8" t="s">
        <v>3</v>
      </c>
      <c r="AD141" s="8" t="s">
        <v>3</v>
      </c>
      <c r="AE141" s="3">
        <v>6332</v>
      </c>
      <c r="AF141" s="3" t="s">
        <v>3</v>
      </c>
      <c r="AG141" s="3" t="s">
        <v>3</v>
      </c>
      <c r="AH141" s="3" t="s">
        <v>3</v>
      </c>
      <c r="AI141" s="1" t="s">
        <v>3</v>
      </c>
      <c r="AJ141" s="1" t="s">
        <v>564</v>
      </c>
      <c r="AK141" s="2">
        <v>53355</v>
      </c>
      <c r="AL141" s="1" t="s">
        <v>3</v>
      </c>
      <c r="AM141" s="1" t="s">
        <v>564</v>
      </c>
      <c r="AN141" s="64" t="s">
        <v>564</v>
      </c>
      <c r="AO141" s="64" t="s">
        <v>564</v>
      </c>
      <c r="AP141" s="64" t="s">
        <v>564</v>
      </c>
      <c r="AQ141" s="64" t="s">
        <v>564</v>
      </c>
      <c r="AR141" s="64" t="s">
        <v>564</v>
      </c>
      <c r="AS141" s="42" t="s">
        <v>3</v>
      </c>
      <c r="AT141" s="42" t="s">
        <v>3</v>
      </c>
      <c r="AU141" s="42" t="s">
        <v>3</v>
      </c>
      <c r="AV141" s="42" t="s">
        <v>3</v>
      </c>
      <c r="AW141" s="53" t="s">
        <v>3</v>
      </c>
      <c r="AX141" s="53" t="s">
        <v>3</v>
      </c>
      <c r="AY141" s="57" t="s">
        <v>3</v>
      </c>
      <c r="AZ141" s="57" t="s">
        <v>3</v>
      </c>
      <c r="BA141" s="121" t="s">
        <v>3</v>
      </c>
      <c r="BB141" s="4" t="s">
        <v>3</v>
      </c>
      <c r="BC141" s="38" t="s">
        <v>3</v>
      </c>
      <c r="BD141" s="3" t="s">
        <v>3</v>
      </c>
    </row>
    <row r="142" spans="1:56" ht="15" customHeight="1" x14ac:dyDescent="0.25">
      <c r="A142" s="38" t="s">
        <v>34</v>
      </c>
      <c r="B142" s="38" t="s">
        <v>139</v>
      </c>
      <c r="C142" s="38" t="s">
        <v>253</v>
      </c>
      <c r="D142" s="48">
        <v>335.051222</v>
      </c>
      <c r="E142" s="92">
        <f t="shared" si="2"/>
        <v>0</v>
      </c>
      <c r="F142" s="12" t="s">
        <v>564</v>
      </c>
      <c r="G142" s="12" t="s">
        <v>564</v>
      </c>
      <c r="H142" s="12" t="s">
        <v>564</v>
      </c>
      <c r="I142" s="11" t="s">
        <v>3</v>
      </c>
      <c r="J142" s="11" t="s">
        <v>3</v>
      </c>
      <c r="K142" s="114" t="s">
        <v>3</v>
      </c>
      <c r="L142" s="5" t="s">
        <v>3</v>
      </c>
      <c r="M142" s="5" t="s">
        <v>3</v>
      </c>
      <c r="N142" s="5" t="s">
        <v>3</v>
      </c>
      <c r="O142" s="5" t="s">
        <v>3</v>
      </c>
      <c r="P142" s="5" t="s">
        <v>3</v>
      </c>
      <c r="Q142" s="5" t="s">
        <v>3</v>
      </c>
      <c r="R142" s="5" t="s">
        <v>3</v>
      </c>
      <c r="S142" s="5" t="s">
        <v>3</v>
      </c>
      <c r="T142" s="5" t="s">
        <v>3</v>
      </c>
      <c r="U142" s="5" t="s">
        <v>3</v>
      </c>
      <c r="V142" s="5" t="s">
        <v>3</v>
      </c>
      <c r="W142" s="14" t="s">
        <v>564</v>
      </c>
      <c r="X142" s="14" t="s">
        <v>564</v>
      </c>
      <c r="Y142" s="14" t="s">
        <v>564</v>
      </c>
      <c r="Z142" s="40" t="s">
        <v>3</v>
      </c>
      <c r="AA142" s="6" t="s">
        <v>3</v>
      </c>
      <c r="AB142" s="6" t="s">
        <v>3</v>
      </c>
      <c r="AC142" s="8" t="s">
        <v>3</v>
      </c>
      <c r="AD142" s="8" t="s">
        <v>3</v>
      </c>
      <c r="AE142" s="3" t="s">
        <v>3</v>
      </c>
      <c r="AF142" s="3" t="s">
        <v>3</v>
      </c>
      <c r="AG142" s="3" t="s">
        <v>3</v>
      </c>
      <c r="AH142" s="3" t="s">
        <v>3</v>
      </c>
      <c r="AI142" s="1" t="s">
        <v>3</v>
      </c>
      <c r="AJ142" s="1" t="s">
        <v>564</v>
      </c>
      <c r="AK142" s="1" t="s">
        <v>3</v>
      </c>
      <c r="AL142" s="1" t="s">
        <v>3</v>
      </c>
      <c r="AM142" s="1" t="s">
        <v>564</v>
      </c>
      <c r="AN142" s="64" t="s">
        <v>564</v>
      </c>
      <c r="AO142" s="64" t="s">
        <v>564</v>
      </c>
      <c r="AP142" s="64" t="s">
        <v>564</v>
      </c>
      <c r="AQ142" s="64" t="s">
        <v>564</v>
      </c>
      <c r="AR142" s="64" t="s">
        <v>564</v>
      </c>
      <c r="AS142" s="42" t="s">
        <v>3</v>
      </c>
      <c r="AT142" s="42" t="s">
        <v>3</v>
      </c>
      <c r="AU142" s="42" t="s">
        <v>3</v>
      </c>
      <c r="AV142" s="42" t="s">
        <v>3</v>
      </c>
      <c r="AW142" s="53" t="s">
        <v>3</v>
      </c>
      <c r="AX142" s="53" t="s">
        <v>3</v>
      </c>
      <c r="AY142" s="57" t="s">
        <v>3</v>
      </c>
      <c r="AZ142" s="57" t="s">
        <v>3</v>
      </c>
      <c r="BA142" s="121" t="s">
        <v>3</v>
      </c>
      <c r="BB142" s="4" t="s">
        <v>3</v>
      </c>
      <c r="BC142" s="38" t="s">
        <v>3</v>
      </c>
      <c r="BD142" s="3" t="s">
        <v>3</v>
      </c>
    </row>
    <row r="143" spans="1:56" ht="15" customHeight="1" x14ac:dyDescent="0.25">
      <c r="A143" s="38" t="s">
        <v>35</v>
      </c>
      <c r="B143" s="38" t="s">
        <v>139</v>
      </c>
      <c r="C143" s="38" t="s">
        <v>254</v>
      </c>
      <c r="D143" s="48">
        <v>289.123403</v>
      </c>
      <c r="E143" s="92">
        <f t="shared" si="2"/>
        <v>0</v>
      </c>
      <c r="F143" s="12" t="s">
        <v>564</v>
      </c>
      <c r="G143" s="12" t="s">
        <v>564</v>
      </c>
      <c r="H143" s="12" t="s">
        <v>564</v>
      </c>
      <c r="I143" s="11" t="s">
        <v>3</v>
      </c>
      <c r="J143" s="11" t="s">
        <v>3</v>
      </c>
      <c r="K143" s="114" t="s">
        <v>3</v>
      </c>
      <c r="L143" s="5" t="s">
        <v>3</v>
      </c>
      <c r="M143" s="5" t="s">
        <v>3</v>
      </c>
      <c r="N143" s="5" t="s">
        <v>3</v>
      </c>
      <c r="O143" s="5" t="s">
        <v>3</v>
      </c>
      <c r="P143" s="5" t="s">
        <v>3</v>
      </c>
      <c r="Q143" s="5" t="s">
        <v>3</v>
      </c>
      <c r="R143" s="5" t="s">
        <v>3</v>
      </c>
      <c r="S143" s="5" t="s">
        <v>3</v>
      </c>
      <c r="T143" s="5" t="s">
        <v>3</v>
      </c>
      <c r="U143" s="5" t="s">
        <v>3</v>
      </c>
      <c r="V143" s="5" t="s">
        <v>3</v>
      </c>
      <c r="W143" s="14" t="s">
        <v>564</v>
      </c>
      <c r="X143" s="14" t="s">
        <v>564</v>
      </c>
      <c r="Y143" s="14" t="s">
        <v>564</v>
      </c>
      <c r="Z143" s="40" t="s">
        <v>3</v>
      </c>
      <c r="AA143" s="6" t="s">
        <v>3</v>
      </c>
      <c r="AB143" s="6" t="s">
        <v>3</v>
      </c>
      <c r="AC143" s="8" t="s">
        <v>3</v>
      </c>
      <c r="AD143" s="8" t="s">
        <v>3</v>
      </c>
      <c r="AE143" s="3" t="s">
        <v>3</v>
      </c>
      <c r="AF143" s="3" t="s">
        <v>3</v>
      </c>
      <c r="AG143" s="3" t="s">
        <v>3</v>
      </c>
      <c r="AH143" s="3" t="s">
        <v>3</v>
      </c>
      <c r="AI143" s="1" t="s">
        <v>3</v>
      </c>
      <c r="AJ143" s="1" t="s">
        <v>564</v>
      </c>
      <c r="AK143" s="1" t="s">
        <v>3</v>
      </c>
      <c r="AL143" s="1" t="s">
        <v>3</v>
      </c>
      <c r="AM143" s="1" t="s">
        <v>564</v>
      </c>
      <c r="AN143" s="64" t="s">
        <v>564</v>
      </c>
      <c r="AO143" s="64" t="s">
        <v>564</v>
      </c>
      <c r="AP143" s="64" t="s">
        <v>564</v>
      </c>
      <c r="AQ143" s="64" t="s">
        <v>564</v>
      </c>
      <c r="AR143" s="64" t="s">
        <v>564</v>
      </c>
      <c r="AS143" s="42" t="s">
        <v>3</v>
      </c>
      <c r="AT143" s="42" t="s">
        <v>3</v>
      </c>
      <c r="AU143" s="42" t="s">
        <v>3</v>
      </c>
      <c r="AV143" s="42" t="s">
        <v>3</v>
      </c>
      <c r="AW143" s="53" t="s">
        <v>3</v>
      </c>
      <c r="AX143" s="53" t="s">
        <v>3</v>
      </c>
      <c r="AY143" s="57" t="s">
        <v>3</v>
      </c>
      <c r="AZ143" s="57" t="s">
        <v>3</v>
      </c>
      <c r="BA143" s="121" t="s">
        <v>3</v>
      </c>
      <c r="BB143" s="4" t="s">
        <v>3</v>
      </c>
      <c r="BC143" s="38" t="s">
        <v>3</v>
      </c>
      <c r="BD143" s="3" t="s">
        <v>3</v>
      </c>
    </row>
    <row r="144" spans="1:56" ht="15" customHeight="1" x14ac:dyDescent="0.25">
      <c r="A144" s="38" t="s">
        <v>36</v>
      </c>
      <c r="B144" s="38" t="s">
        <v>139</v>
      </c>
      <c r="C144" s="38" t="s">
        <v>255</v>
      </c>
      <c r="D144" s="48">
        <v>241.123403</v>
      </c>
      <c r="E144" s="92">
        <f t="shared" si="2"/>
        <v>2.083333333333333</v>
      </c>
      <c r="F144" s="12" t="s">
        <v>564</v>
      </c>
      <c r="G144" s="12" t="s">
        <v>564</v>
      </c>
      <c r="H144" s="12" t="s">
        <v>564</v>
      </c>
      <c r="I144" s="11" t="s">
        <v>3</v>
      </c>
      <c r="J144" s="11" t="s">
        <v>3</v>
      </c>
      <c r="K144" s="114" t="s">
        <v>3</v>
      </c>
      <c r="L144" s="5" t="s">
        <v>3</v>
      </c>
      <c r="M144" s="5" t="s">
        <v>3</v>
      </c>
      <c r="N144" s="5" t="s">
        <v>3</v>
      </c>
      <c r="O144" s="5" t="s">
        <v>3</v>
      </c>
      <c r="P144" s="5" t="s">
        <v>3</v>
      </c>
      <c r="Q144" s="5" t="s">
        <v>3</v>
      </c>
      <c r="R144" s="5" t="s">
        <v>3</v>
      </c>
      <c r="S144" s="5" t="s">
        <v>3</v>
      </c>
      <c r="T144" s="5" t="s">
        <v>3</v>
      </c>
      <c r="U144" s="5" t="s">
        <v>3</v>
      </c>
      <c r="V144" s="5" t="s">
        <v>3</v>
      </c>
      <c r="W144" s="14" t="s">
        <v>564</v>
      </c>
      <c r="X144" s="14" t="s">
        <v>564</v>
      </c>
      <c r="Y144" s="14" t="s">
        <v>564</v>
      </c>
      <c r="Z144" s="40" t="s">
        <v>3</v>
      </c>
      <c r="AA144" s="6" t="s">
        <v>3</v>
      </c>
      <c r="AB144" s="6" t="s">
        <v>3</v>
      </c>
      <c r="AC144" s="8" t="s">
        <v>3</v>
      </c>
      <c r="AD144" s="8" t="s">
        <v>3</v>
      </c>
      <c r="AE144" s="3" t="s">
        <v>3</v>
      </c>
      <c r="AF144" s="3" t="s">
        <v>3</v>
      </c>
      <c r="AG144" s="3" t="s">
        <v>3</v>
      </c>
      <c r="AH144" s="3" t="s">
        <v>3</v>
      </c>
      <c r="AI144" s="1" t="s">
        <v>3</v>
      </c>
      <c r="AJ144" s="1" t="s">
        <v>564</v>
      </c>
      <c r="AK144" s="2">
        <v>17820</v>
      </c>
      <c r="AL144" s="1" t="s">
        <v>3</v>
      </c>
      <c r="AM144" s="1" t="s">
        <v>564</v>
      </c>
      <c r="AN144" s="64" t="s">
        <v>564</v>
      </c>
      <c r="AO144" s="64" t="s">
        <v>564</v>
      </c>
      <c r="AP144" s="64" t="s">
        <v>564</v>
      </c>
      <c r="AQ144" s="64" t="s">
        <v>564</v>
      </c>
      <c r="AR144" s="64" t="s">
        <v>564</v>
      </c>
      <c r="AS144" s="42" t="s">
        <v>3</v>
      </c>
      <c r="AT144" s="42" t="s">
        <v>3</v>
      </c>
      <c r="AU144" s="42" t="s">
        <v>3</v>
      </c>
      <c r="AV144" s="42" t="s">
        <v>3</v>
      </c>
      <c r="AW144" s="53" t="s">
        <v>3</v>
      </c>
      <c r="AX144" s="53" t="s">
        <v>3</v>
      </c>
      <c r="AY144" s="57" t="s">
        <v>3</v>
      </c>
      <c r="AZ144" s="57" t="s">
        <v>3</v>
      </c>
      <c r="BA144" s="121" t="s">
        <v>3</v>
      </c>
      <c r="BB144" s="4" t="s">
        <v>3</v>
      </c>
      <c r="BC144" s="38" t="s">
        <v>3</v>
      </c>
      <c r="BD144" s="3" t="s">
        <v>3</v>
      </c>
    </row>
    <row r="145" spans="1:56" ht="15" customHeight="1" x14ac:dyDescent="0.25">
      <c r="A145" s="38" t="s">
        <v>37</v>
      </c>
      <c r="B145" s="38" t="s">
        <v>139</v>
      </c>
      <c r="C145" s="38" t="s">
        <v>256</v>
      </c>
      <c r="D145" s="48">
        <v>351.13905299999999</v>
      </c>
      <c r="E145" s="92">
        <f t="shared" si="2"/>
        <v>20.833333333333336</v>
      </c>
      <c r="F145" s="12" t="s">
        <v>564</v>
      </c>
      <c r="G145" s="12" t="s">
        <v>564</v>
      </c>
      <c r="H145" s="12" t="s">
        <v>564</v>
      </c>
      <c r="I145" s="11" t="s">
        <v>3</v>
      </c>
      <c r="J145" s="11" t="s">
        <v>3</v>
      </c>
      <c r="K145" s="114" t="s">
        <v>3</v>
      </c>
      <c r="L145" s="5" t="s">
        <v>3</v>
      </c>
      <c r="M145" s="138">
        <v>18572</v>
      </c>
      <c r="N145" s="138">
        <v>3769</v>
      </c>
      <c r="O145" s="138">
        <v>237987</v>
      </c>
      <c r="P145" s="138">
        <v>178504</v>
      </c>
      <c r="Q145" s="138">
        <v>244796</v>
      </c>
      <c r="R145" s="138">
        <v>238660</v>
      </c>
      <c r="S145" s="138">
        <v>129978</v>
      </c>
      <c r="T145" s="138">
        <v>134605</v>
      </c>
      <c r="U145" s="138">
        <v>94470</v>
      </c>
      <c r="V145" s="138">
        <v>33018</v>
      </c>
      <c r="W145" s="14" t="s">
        <v>564</v>
      </c>
      <c r="X145" s="14" t="s">
        <v>564</v>
      </c>
      <c r="Y145" s="14" t="s">
        <v>564</v>
      </c>
      <c r="Z145" s="40" t="s">
        <v>3</v>
      </c>
      <c r="AA145" s="6" t="s">
        <v>3</v>
      </c>
      <c r="AB145" s="6" t="s">
        <v>3</v>
      </c>
      <c r="AC145" s="8" t="s">
        <v>3</v>
      </c>
      <c r="AD145" s="8" t="s">
        <v>3</v>
      </c>
      <c r="AE145" s="3" t="s">
        <v>3</v>
      </c>
      <c r="AF145" s="3" t="s">
        <v>3</v>
      </c>
      <c r="AG145" s="3" t="s">
        <v>3</v>
      </c>
      <c r="AH145" s="3" t="s">
        <v>3</v>
      </c>
      <c r="AI145" s="1" t="s">
        <v>3</v>
      </c>
      <c r="AJ145" s="1" t="s">
        <v>564</v>
      </c>
      <c r="AK145" s="1" t="s">
        <v>3</v>
      </c>
      <c r="AL145" s="1" t="s">
        <v>3</v>
      </c>
      <c r="AM145" s="1" t="s">
        <v>564</v>
      </c>
      <c r="AN145" s="64" t="s">
        <v>564</v>
      </c>
      <c r="AO145" s="64" t="s">
        <v>564</v>
      </c>
      <c r="AP145" s="64" t="s">
        <v>564</v>
      </c>
      <c r="AQ145" s="64" t="s">
        <v>564</v>
      </c>
      <c r="AR145" s="64" t="s">
        <v>564</v>
      </c>
      <c r="AS145" s="42" t="s">
        <v>3</v>
      </c>
      <c r="AT145" s="42" t="s">
        <v>3</v>
      </c>
      <c r="AU145" s="42" t="s">
        <v>3</v>
      </c>
      <c r="AV145" s="42" t="s">
        <v>3</v>
      </c>
      <c r="AW145" s="53" t="s">
        <v>3</v>
      </c>
      <c r="AX145" s="53" t="s">
        <v>3</v>
      </c>
      <c r="AY145" s="57" t="s">
        <v>3</v>
      </c>
      <c r="AZ145" s="57" t="s">
        <v>3</v>
      </c>
      <c r="BA145" s="121" t="s">
        <v>3</v>
      </c>
      <c r="BB145" s="4" t="s">
        <v>3</v>
      </c>
      <c r="BC145" s="38" t="s">
        <v>3</v>
      </c>
      <c r="BD145" s="3" t="s">
        <v>3</v>
      </c>
    </row>
    <row r="146" spans="1:56" ht="15" customHeight="1" x14ac:dyDescent="0.25">
      <c r="A146" s="38" t="s">
        <v>38</v>
      </c>
      <c r="B146" s="38" t="s">
        <v>139</v>
      </c>
      <c r="C146" s="38" t="s">
        <v>257</v>
      </c>
      <c r="D146" s="48">
        <v>255.13905299999999</v>
      </c>
      <c r="E146" s="92">
        <f t="shared" si="2"/>
        <v>0</v>
      </c>
      <c r="F146" s="12" t="s">
        <v>564</v>
      </c>
      <c r="G146" s="12" t="s">
        <v>564</v>
      </c>
      <c r="H146" s="12" t="s">
        <v>564</v>
      </c>
      <c r="I146" s="11" t="s">
        <v>3</v>
      </c>
      <c r="J146" s="11" t="s">
        <v>3</v>
      </c>
      <c r="K146" s="114" t="s">
        <v>3</v>
      </c>
      <c r="L146" s="5" t="s">
        <v>3</v>
      </c>
      <c r="M146" s="5" t="s">
        <v>3</v>
      </c>
      <c r="N146" s="5" t="s">
        <v>3</v>
      </c>
      <c r="O146" s="5" t="s">
        <v>3</v>
      </c>
      <c r="P146" s="5" t="s">
        <v>3</v>
      </c>
      <c r="Q146" s="5" t="s">
        <v>3</v>
      </c>
      <c r="R146" s="5" t="s">
        <v>3</v>
      </c>
      <c r="S146" s="5" t="s">
        <v>3</v>
      </c>
      <c r="T146" s="5" t="s">
        <v>3</v>
      </c>
      <c r="U146" s="5" t="s">
        <v>3</v>
      </c>
      <c r="V146" s="5" t="s">
        <v>3</v>
      </c>
      <c r="W146" s="14" t="s">
        <v>564</v>
      </c>
      <c r="X146" s="14" t="s">
        <v>564</v>
      </c>
      <c r="Y146" s="14" t="s">
        <v>564</v>
      </c>
      <c r="Z146" s="40" t="s">
        <v>3</v>
      </c>
      <c r="AA146" s="6" t="s">
        <v>3</v>
      </c>
      <c r="AB146" s="6" t="s">
        <v>3</v>
      </c>
      <c r="AC146" s="8" t="s">
        <v>3</v>
      </c>
      <c r="AD146" s="8" t="s">
        <v>3</v>
      </c>
      <c r="AE146" s="3" t="s">
        <v>3</v>
      </c>
      <c r="AF146" s="3" t="s">
        <v>3</v>
      </c>
      <c r="AG146" s="3" t="s">
        <v>3</v>
      </c>
      <c r="AH146" s="3" t="s">
        <v>3</v>
      </c>
      <c r="AI146" s="1" t="s">
        <v>3</v>
      </c>
      <c r="AJ146" s="1" t="s">
        <v>564</v>
      </c>
      <c r="AK146" s="1" t="s">
        <v>3</v>
      </c>
      <c r="AL146" s="1" t="s">
        <v>3</v>
      </c>
      <c r="AM146" s="1" t="s">
        <v>564</v>
      </c>
      <c r="AN146" s="64" t="s">
        <v>564</v>
      </c>
      <c r="AO146" s="64" t="s">
        <v>564</v>
      </c>
      <c r="AP146" s="64" t="s">
        <v>564</v>
      </c>
      <c r="AQ146" s="64" t="s">
        <v>564</v>
      </c>
      <c r="AR146" s="64" t="s">
        <v>564</v>
      </c>
      <c r="AS146" s="42" t="s">
        <v>3</v>
      </c>
      <c r="AT146" s="42" t="s">
        <v>3</v>
      </c>
      <c r="AU146" s="42" t="s">
        <v>3</v>
      </c>
      <c r="AV146" s="42" t="s">
        <v>3</v>
      </c>
      <c r="AW146" s="53" t="s">
        <v>3</v>
      </c>
      <c r="AX146" s="53" t="s">
        <v>3</v>
      </c>
      <c r="AY146" s="57" t="s">
        <v>3</v>
      </c>
      <c r="AZ146" s="57" t="s">
        <v>3</v>
      </c>
      <c r="BA146" s="121" t="s">
        <v>3</v>
      </c>
      <c r="BB146" s="4" t="s">
        <v>3</v>
      </c>
      <c r="BC146" s="38" t="s">
        <v>3</v>
      </c>
      <c r="BD146" s="3" t="s">
        <v>3</v>
      </c>
    </row>
    <row r="147" spans="1:56" ht="15" customHeight="1" x14ac:dyDescent="0.25">
      <c r="A147" s="38" t="s">
        <v>39</v>
      </c>
      <c r="B147" s="38" t="s">
        <v>139</v>
      </c>
      <c r="C147" s="38" t="s">
        <v>258</v>
      </c>
      <c r="D147" s="48">
        <v>213.09210300000001</v>
      </c>
      <c r="E147" s="92">
        <f t="shared" si="2"/>
        <v>20.833333333333336</v>
      </c>
      <c r="F147" s="12" t="s">
        <v>564</v>
      </c>
      <c r="G147" s="12" t="s">
        <v>564</v>
      </c>
      <c r="H147" s="12" t="s">
        <v>564</v>
      </c>
      <c r="I147" s="11" t="s">
        <v>3</v>
      </c>
      <c r="J147" s="11" t="s">
        <v>3</v>
      </c>
      <c r="K147" s="114" t="s">
        <v>3</v>
      </c>
      <c r="L147" s="5" t="s">
        <v>3</v>
      </c>
      <c r="M147" s="129">
        <v>13881</v>
      </c>
      <c r="N147" s="129">
        <v>10412</v>
      </c>
      <c r="O147" s="129">
        <v>16844</v>
      </c>
      <c r="P147" s="129">
        <v>8207</v>
      </c>
      <c r="Q147" s="129">
        <v>10693</v>
      </c>
      <c r="R147" s="129">
        <v>16247</v>
      </c>
      <c r="S147" s="129">
        <v>18448</v>
      </c>
      <c r="T147" s="129">
        <v>7749</v>
      </c>
      <c r="U147" s="129">
        <v>6719</v>
      </c>
      <c r="V147" s="129">
        <v>15975</v>
      </c>
      <c r="W147" s="14" t="s">
        <v>564</v>
      </c>
      <c r="X147" s="14" t="s">
        <v>564</v>
      </c>
      <c r="Y147" s="14" t="s">
        <v>564</v>
      </c>
      <c r="Z147" s="40" t="s">
        <v>3</v>
      </c>
      <c r="AA147" s="6" t="s">
        <v>3</v>
      </c>
      <c r="AB147" s="6" t="s">
        <v>3</v>
      </c>
      <c r="AC147" s="8" t="s">
        <v>3</v>
      </c>
      <c r="AD147" s="8" t="s">
        <v>3</v>
      </c>
      <c r="AE147" s="3" t="s">
        <v>3</v>
      </c>
      <c r="AF147" s="3" t="s">
        <v>3</v>
      </c>
      <c r="AG147" s="3" t="s">
        <v>3</v>
      </c>
      <c r="AH147" s="3" t="s">
        <v>3</v>
      </c>
      <c r="AI147" s="1" t="s">
        <v>3</v>
      </c>
      <c r="AJ147" s="1" t="s">
        <v>564</v>
      </c>
      <c r="AK147" s="1" t="s">
        <v>3</v>
      </c>
      <c r="AL147" s="1" t="s">
        <v>3</v>
      </c>
      <c r="AM147" s="1" t="s">
        <v>564</v>
      </c>
      <c r="AN147" s="64" t="s">
        <v>564</v>
      </c>
      <c r="AO147" s="64" t="s">
        <v>564</v>
      </c>
      <c r="AP147" s="64" t="s">
        <v>564</v>
      </c>
      <c r="AQ147" s="64" t="s">
        <v>564</v>
      </c>
      <c r="AR147" s="64" t="s">
        <v>564</v>
      </c>
      <c r="AS147" s="42" t="s">
        <v>3</v>
      </c>
      <c r="AT147" s="42" t="s">
        <v>3</v>
      </c>
      <c r="AU147" s="42" t="s">
        <v>3</v>
      </c>
      <c r="AV147" s="42" t="s">
        <v>3</v>
      </c>
      <c r="AW147" s="53" t="s">
        <v>3</v>
      </c>
      <c r="AX147" s="53" t="s">
        <v>3</v>
      </c>
      <c r="AY147" s="57" t="s">
        <v>3</v>
      </c>
      <c r="AZ147" s="57" t="s">
        <v>3</v>
      </c>
      <c r="BA147" s="121" t="s">
        <v>3</v>
      </c>
      <c r="BB147" s="4" t="s">
        <v>3</v>
      </c>
      <c r="BC147" s="38" t="s">
        <v>3</v>
      </c>
      <c r="BD147" s="3" t="s">
        <v>3</v>
      </c>
    </row>
    <row r="148" spans="1:56" ht="15" customHeight="1" x14ac:dyDescent="0.25">
      <c r="A148" s="38" t="s">
        <v>272</v>
      </c>
      <c r="B148" s="38" t="s">
        <v>139</v>
      </c>
      <c r="C148" s="38" t="s">
        <v>259</v>
      </c>
      <c r="D148" s="48">
        <v>199.07645299999999</v>
      </c>
      <c r="E148" s="92">
        <f t="shared" si="2"/>
        <v>22.916666666666664</v>
      </c>
      <c r="F148" s="12" t="s">
        <v>564</v>
      </c>
      <c r="G148" s="12" t="s">
        <v>564</v>
      </c>
      <c r="H148" s="12" t="s">
        <v>564</v>
      </c>
      <c r="I148" s="11" t="s">
        <v>3</v>
      </c>
      <c r="J148" s="11" t="s">
        <v>3</v>
      </c>
      <c r="K148" s="114" t="s">
        <v>3</v>
      </c>
      <c r="L148" s="129">
        <v>4480</v>
      </c>
      <c r="M148" s="129">
        <v>13685</v>
      </c>
      <c r="N148" s="129">
        <v>8635</v>
      </c>
      <c r="O148" s="129">
        <v>14334</v>
      </c>
      <c r="P148" s="129">
        <v>9062</v>
      </c>
      <c r="Q148" s="129">
        <v>30100</v>
      </c>
      <c r="R148" s="129">
        <v>10819</v>
      </c>
      <c r="S148" s="129">
        <v>7048</v>
      </c>
      <c r="T148" s="129">
        <v>16130</v>
      </c>
      <c r="U148" s="129">
        <v>10270</v>
      </c>
      <c r="V148" s="129">
        <v>13161</v>
      </c>
      <c r="W148" s="14" t="s">
        <v>564</v>
      </c>
      <c r="X148" s="14" t="s">
        <v>564</v>
      </c>
      <c r="Y148" s="14" t="s">
        <v>564</v>
      </c>
      <c r="Z148" s="40" t="s">
        <v>3</v>
      </c>
      <c r="AA148" s="6" t="s">
        <v>3</v>
      </c>
      <c r="AB148" s="6" t="s">
        <v>3</v>
      </c>
      <c r="AC148" s="8" t="s">
        <v>3</v>
      </c>
      <c r="AD148" s="8" t="s">
        <v>3</v>
      </c>
      <c r="AE148" s="3" t="s">
        <v>3</v>
      </c>
      <c r="AF148" s="3" t="s">
        <v>3</v>
      </c>
      <c r="AG148" s="3" t="s">
        <v>3</v>
      </c>
      <c r="AH148" s="3" t="s">
        <v>3</v>
      </c>
      <c r="AI148" s="1" t="s">
        <v>3</v>
      </c>
      <c r="AJ148" s="1" t="s">
        <v>564</v>
      </c>
      <c r="AK148" s="1" t="s">
        <v>3</v>
      </c>
      <c r="AL148" s="1" t="s">
        <v>3</v>
      </c>
      <c r="AM148" s="1" t="s">
        <v>564</v>
      </c>
      <c r="AN148" s="64" t="s">
        <v>564</v>
      </c>
      <c r="AO148" s="64" t="s">
        <v>564</v>
      </c>
      <c r="AP148" s="64" t="s">
        <v>564</v>
      </c>
      <c r="AQ148" s="64" t="s">
        <v>564</v>
      </c>
      <c r="AR148" s="64" t="s">
        <v>564</v>
      </c>
      <c r="AS148" s="42" t="s">
        <v>3</v>
      </c>
      <c r="AT148" s="42" t="s">
        <v>3</v>
      </c>
      <c r="AU148" s="42" t="s">
        <v>3</v>
      </c>
      <c r="AV148" s="42" t="s">
        <v>3</v>
      </c>
      <c r="AW148" s="53" t="s">
        <v>3</v>
      </c>
      <c r="AX148" s="53" t="s">
        <v>3</v>
      </c>
      <c r="AY148" s="57" t="s">
        <v>3</v>
      </c>
      <c r="AZ148" s="57" t="s">
        <v>3</v>
      </c>
      <c r="BA148" s="121" t="s">
        <v>3</v>
      </c>
      <c r="BB148" s="4" t="s">
        <v>3</v>
      </c>
      <c r="BC148" s="38" t="s">
        <v>3</v>
      </c>
      <c r="BD148" s="3" t="s">
        <v>3</v>
      </c>
    </row>
    <row r="149" spans="1:56" ht="15" customHeight="1" x14ac:dyDescent="0.25">
      <c r="A149" s="38" t="s">
        <v>273</v>
      </c>
      <c r="B149" s="38" t="s">
        <v>139</v>
      </c>
      <c r="C149" s="38" t="s">
        <v>259</v>
      </c>
      <c r="D149" s="48">
        <v>199.07645299999999</v>
      </c>
      <c r="E149" s="92">
        <f t="shared" si="2"/>
        <v>22.916666666666664</v>
      </c>
      <c r="F149" s="12" t="s">
        <v>564</v>
      </c>
      <c r="G149" s="12" t="s">
        <v>564</v>
      </c>
      <c r="H149" s="12" t="s">
        <v>564</v>
      </c>
      <c r="I149" s="11" t="s">
        <v>3</v>
      </c>
      <c r="J149" s="11" t="s">
        <v>3</v>
      </c>
      <c r="K149" s="114" t="s">
        <v>3</v>
      </c>
      <c r="L149" s="129">
        <v>4480</v>
      </c>
      <c r="M149" s="129">
        <v>13685</v>
      </c>
      <c r="N149" s="129">
        <v>8635</v>
      </c>
      <c r="O149" s="129">
        <v>14334</v>
      </c>
      <c r="P149" s="129">
        <v>9062</v>
      </c>
      <c r="Q149" s="129">
        <v>30100</v>
      </c>
      <c r="R149" s="129">
        <v>10819</v>
      </c>
      <c r="S149" s="129">
        <v>7048</v>
      </c>
      <c r="T149" s="129">
        <v>16130</v>
      </c>
      <c r="U149" s="129">
        <v>10270</v>
      </c>
      <c r="V149" s="129">
        <v>13161</v>
      </c>
      <c r="W149" s="14" t="s">
        <v>564</v>
      </c>
      <c r="X149" s="14" t="s">
        <v>564</v>
      </c>
      <c r="Y149" s="14" t="s">
        <v>564</v>
      </c>
      <c r="Z149" s="40" t="s">
        <v>3</v>
      </c>
      <c r="AA149" s="6" t="s">
        <v>3</v>
      </c>
      <c r="AB149" s="6" t="s">
        <v>3</v>
      </c>
      <c r="AC149" s="8" t="s">
        <v>3</v>
      </c>
      <c r="AD149" s="8" t="s">
        <v>3</v>
      </c>
      <c r="AE149" s="3" t="s">
        <v>3</v>
      </c>
      <c r="AF149" s="3" t="s">
        <v>3</v>
      </c>
      <c r="AG149" s="3" t="s">
        <v>3</v>
      </c>
      <c r="AH149" s="3" t="s">
        <v>3</v>
      </c>
      <c r="AI149" s="1" t="s">
        <v>3</v>
      </c>
      <c r="AJ149" s="1" t="s">
        <v>564</v>
      </c>
      <c r="AK149" s="1" t="s">
        <v>3</v>
      </c>
      <c r="AL149" s="1" t="s">
        <v>3</v>
      </c>
      <c r="AM149" s="1" t="s">
        <v>564</v>
      </c>
      <c r="AN149" s="64" t="s">
        <v>564</v>
      </c>
      <c r="AO149" s="64" t="s">
        <v>564</v>
      </c>
      <c r="AP149" s="64" t="s">
        <v>564</v>
      </c>
      <c r="AQ149" s="64" t="s">
        <v>564</v>
      </c>
      <c r="AR149" s="64" t="s">
        <v>564</v>
      </c>
      <c r="AS149" s="42" t="s">
        <v>3</v>
      </c>
      <c r="AT149" s="42" t="s">
        <v>3</v>
      </c>
      <c r="AU149" s="42" t="s">
        <v>3</v>
      </c>
      <c r="AV149" s="42" t="s">
        <v>3</v>
      </c>
      <c r="AW149" s="53" t="s">
        <v>3</v>
      </c>
      <c r="AX149" s="53" t="s">
        <v>3</v>
      </c>
      <c r="AY149" s="57" t="s">
        <v>3</v>
      </c>
      <c r="AZ149" s="57" t="s">
        <v>3</v>
      </c>
      <c r="BA149" s="121" t="s">
        <v>3</v>
      </c>
      <c r="BB149" s="4" t="s">
        <v>3</v>
      </c>
      <c r="BC149" s="38" t="s">
        <v>3</v>
      </c>
      <c r="BD149" s="3" t="s">
        <v>3</v>
      </c>
    </row>
    <row r="150" spans="1:56" ht="15" customHeight="1" x14ac:dyDescent="0.25">
      <c r="A150" s="38" t="s">
        <v>40</v>
      </c>
      <c r="B150" s="38" t="s">
        <v>139</v>
      </c>
      <c r="C150" s="38" t="s">
        <v>260</v>
      </c>
      <c r="D150" s="48">
        <v>349.123403</v>
      </c>
      <c r="E150" s="92">
        <f t="shared" si="2"/>
        <v>18.75</v>
      </c>
      <c r="F150" s="12" t="s">
        <v>564</v>
      </c>
      <c r="G150" s="12" t="s">
        <v>564</v>
      </c>
      <c r="H150" s="12" t="s">
        <v>564</v>
      </c>
      <c r="I150" s="11" t="s">
        <v>3</v>
      </c>
      <c r="J150" s="11" t="s">
        <v>3</v>
      </c>
      <c r="K150" s="114" t="s">
        <v>3</v>
      </c>
      <c r="L150" s="5" t="s">
        <v>3</v>
      </c>
      <c r="M150" s="4">
        <v>28260</v>
      </c>
      <c r="N150" s="4">
        <v>7196</v>
      </c>
      <c r="O150" s="4">
        <v>11332</v>
      </c>
      <c r="P150" s="4">
        <v>17770</v>
      </c>
      <c r="Q150" s="4">
        <v>20762</v>
      </c>
      <c r="R150" s="4">
        <v>13901</v>
      </c>
      <c r="S150" s="5" t="s">
        <v>3</v>
      </c>
      <c r="T150" s="4">
        <v>6014</v>
      </c>
      <c r="U150" s="4">
        <v>6175</v>
      </c>
      <c r="V150" s="5">
        <v>6578</v>
      </c>
      <c r="W150" s="14" t="s">
        <v>564</v>
      </c>
      <c r="X150" s="14" t="s">
        <v>564</v>
      </c>
      <c r="Y150" s="14" t="s">
        <v>564</v>
      </c>
      <c r="Z150" s="40" t="s">
        <v>3</v>
      </c>
      <c r="AA150" s="6" t="s">
        <v>3</v>
      </c>
      <c r="AB150" s="6" t="s">
        <v>3</v>
      </c>
      <c r="AC150" s="8" t="s">
        <v>3</v>
      </c>
      <c r="AD150" s="8" t="s">
        <v>3</v>
      </c>
      <c r="AE150" s="3" t="s">
        <v>3</v>
      </c>
      <c r="AF150" s="3" t="s">
        <v>3</v>
      </c>
      <c r="AG150" s="3" t="s">
        <v>3</v>
      </c>
      <c r="AH150" s="3" t="s">
        <v>3</v>
      </c>
      <c r="AI150" s="1" t="s">
        <v>3</v>
      </c>
      <c r="AJ150" s="1" t="s">
        <v>564</v>
      </c>
      <c r="AK150" s="1" t="s">
        <v>3</v>
      </c>
      <c r="AL150" s="1" t="s">
        <v>3</v>
      </c>
      <c r="AM150" s="1" t="s">
        <v>564</v>
      </c>
      <c r="AN150" s="64" t="s">
        <v>564</v>
      </c>
      <c r="AO150" s="64" t="s">
        <v>564</v>
      </c>
      <c r="AP150" s="64" t="s">
        <v>564</v>
      </c>
      <c r="AQ150" s="64" t="s">
        <v>564</v>
      </c>
      <c r="AR150" s="64" t="s">
        <v>564</v>
      </c>
      <c r="AS150" s="42" t="s">
        <v>3</v>
      </c>
      <c r="AT150" s="42" t="s">
        <v>3</v>
      </c>
      <c r="AU150" s="42" t="s">
        <v>3</v>
      </c>
      <c r="AV150" s="42" t="s">
        <v>3</v>
      </c>
      <c r="AW150" s="53" t="s">
        <v>3</v>
      </c>
      <c r="AX150" s="53" t="s">
        <v>3</v>
      </c>
      <c r="AY150" s="57" t="s">
        <v>3</v>
      </c>
      <c r="AZ150" s="57" t="s">
        <v>3</v>
      </c>
      <c r="BA150" s="121" t="s">
        <v>3</v>
      </c>
      <c r="BB150" s="4" t="s">
        <v>3</v>
      </c>
      <c r="BC150" s="38" t="s">
        <v>3</v>
      </c>
      <c r="BD150" s="3" t="s">
        <v>3</v>
      </c>
    </row>
    <row r="151" spans="1:56" ht="15" customHeight="1" x14ac:dyDescent="0.25">
      <c r="A151" s="38" t="s">
        <v>41</v>
      </c>
      <c r="B151" s="38" t="s">
        <v>139</v>
      </c>
      <c r="C151" s="38" t="s">
        <v>261</v>
      </c>
      <c r="D151" s="48">
        <v>311.20165400000002</v>
      </c>
      <c r="E151" s="92">
        <f t="shared" si="2"/>
        <v>2.083333333333333</v>
      </c>
      <c r="F151" s="12" t="s">
        <v>564</v>
      </c>
      <c r="G151" s="12" t="s">
        <v>564</v>
      </c>
      <c r="H151" s="12" t="s">
        <v>564</v>
      </c>
      <c r="I151" s="11" t="s">
        <v>3</v>
      </c>
      <c r="J151" s="11" t="s">
        <v>3</v>
      </c>
      <c r="K151" s="114" t="s">
        <v>3</v>
      </c>
      <c r="L151" s="4" t="s">
        <v>3</v>
      </c>
      <c r="M151" s="4" t="s">
        <v>3</v>
      </c>
      <c r="N151" s="4" t="s">
        <v>3</v>
      </c>
      <c r="O151" s="4" t="s">
        <v>3</v>
      </c>
      <c r="P151" s="4" t="s">
        <v>3</v>
      </c>
      <c r="Q151" s="4" t="s">
        <v>3</v>
      </c>
      <c r="R151" s="4" t="s">
        <v>3</v>
      </c>
      <c r="S151" s="4" t="s">
        <v>3</v>
      </c>
      <c r="T151" s="4" t="s">
        <v>3</v>
      </c>
      <c r="U151" s="4" t="s">
        <v>3</v>
      </c>
      <c r="V151" s="4" t="s">
        <v>3</v>
      </c>
      <c r="W151" s="14" t="s">
        <v>564</v>
      </c>
      <c r="X151" s="14" t="s">
        <v>564</v>
      </c>
      <c r="Y151" s="14" t="s">
        <v>564</v>
      </c>
      <c r="Z151" s="39" t="s">
        <v>3</v>
      </c>
      <c r="AA151" s="7" t="s">
        <v>3</v>
      </c>
      <c r="AB151" s="7" t="s">
        <v>3</v>
      </c>
      <c r="AC151" s="9" t="s">
        <v>3</v>
      </c>
      <c r="AD151" s="9" t="s">
        <v>3</v>
      </c>
      <c r="AE151" s="3" t="s">
        <v>3</v>
      </c>
      <c r="AF151" s="3" t="s">
        <v>3</v>
      </c>
      <c r="AG151" s="136">
        <v>1228</v>
      </c>
      <c r="AH151" s="3" t="s">
        <v>3</v>
      </c>
      <c r="AI151" s="1" t="s">
        <v>3</v>
      </c>
      <c r="AJ151" s="1" t="s">
        <v>564</v>
      </c>
      <c r="AK151" s="1" t="s">
        <v>3</v>
      </c>
      <c r="AL151" s="1" t="s">
        <v>3</v>
      </c>
      <c r="AM151" s="1" t="s">
        <v>564</v>
      </c>
      <c r="AN151" s="64" t="s">
        <v>564</v>
      </c>
      <c r="AO151" s="64" t="s">
        <v>564</v>
      </c>
      <c r="AP151" s="64" t="s">
        <v>564</v>
      </c>
      <c r="AQ151" s="64" t="s">
        <v>564</v>
      </c>
      <c r="AR151" s="64" t="s">
        <v>564</v>
      </c>
      <c r="AS151" s="42" t="s">
        <v>3</v>
      </c>
      <c r="AT151" s="42" t="s">
        <v>3</v>
      </c>
      <c r="AU151" s="42" t="s">
        <v>3</v>
      </c>
      <c r="AV151" s="42" t="s">
        <v>3</v>
      </c>
      <c r="AW151" s="53" t="s">
        <v>3</v>
      </c>
      <c r="AX151" s="53" t="s">
        <v>3</v>
      </c>
      <c r="AY151" s="57" t="s">
        <v>3</v>
      </c>
      <c r="AZ151" s="57" t="s">
        <v>3</v>
      </c>
      <c r="BA151" s="121" t="s">
        <v>3</v>
      </c>
      <c r="BB151" s="4" t="s">
        <v>3</v>
      </c>
      <c r="BC151" s="38" t="s">
        <v>3</v>
      </c>
      <c r="BD151" s="3" t="s">
        <v>3</v>
      </c>
    </row>
    <row r="152" spans="1:56" ht="15" customHeight="1" x14ac:dyDescent="0.25">
      <c r="A152" s="38" t="s">
        <v>42</v>
      </c>
      <c r="B152" s="38" t="s">
        <v>139</v>
      </c>
      <c r="C152" s="38" t="s">
        <v>262</v>
      </c>
      <c r="D152" s="48">
        <v>345.18600400000003</v>
      </c>
      <c r="E152" s="92">
        <f t="shared" si="2"/>
        <v>0</v>
      </c>
      <c r="F152" s="12" t="s">
        <v>564</v>
      </c>
      <c r="G152" s="12" t="s">
        <v>564</v>
      </c>
      <c r="H152" s="12" t="s">
        <v>564</v>
      </c>
      <c r="I152" s="11" t="s">
        <v>3</v>
      </c>
      <c r="J152" s="11" t="s">
        <v>3</v>
      </c>
      <c r="K152" s="114" t="s">
        <v>3</v>
      </c>
      <c r="L152" s="5" t="s">
        <v>3</v>
      </c>
      <c r="M152" s="5" t="s">
        <v>3</v>
      </c>
      <c r="N152" s="5" t="s">
        <v>3</v>
      </c>
      <c r="O152" s="5" t="s">
        <v>3</v>
      </c>
      <c r="P152" s="5" t="s">
        <v>3</v>
      </c>
      <c r="Q152" s="5" t="s">
        <v>3</v>
      </c>
      <c r="R152" s="5" t="s">
        <v>3</v>
      </c>
      <c r="S152" s="5" t="s">
        <v>3</v>
      </c>
      <c r="T152" s="5" t="s">
        <v>3</v>
      </c>
      <c r="U152" s="5" t="s">
        <v>3</v>
      </c>
      <c r="V152" s="5" t="s">
        <v>3</v>
      </c>
      <c r="W152" s="14" t="s">
        <v>564</v>
      </c>
      <c r="X152" s="14" t="s">
        <v>564</v>
      </c>
      <c r="Y152" s="14" t="s">
        <v>564</v>
      </c>
      <c r="Z152" s="40" t="s">
        <v>3</v>
      </c>
      <c r="AA152" s="6" t="s">
        <v>3</v>
      </c>
      <c r="AB152" s="6" t="s">
        <v>3</v>
      </c>
      <c r="AC152" s="8" t="s">
        <v>3</v>
      </c>
      <c r="AD152" s="8" t="s">
        <v>3</v>
      </c>
      <c r="AE152" s="3" t="s">
        <v>3</v>
      </c>
      <c r="AF152" s="3" t="s">
        <v>3</v>
      </c>
      <c r="AG152" s="3" t="s">
        <v>3</v>
      </c>
      <c r="AH152" s="3" t="s">
        <v>3</v>
      </c>
      <c r="AI152" s="1" t="s">
        <v>3</v>
      </c>
      <c r="AJ152" s="1" t="s">
        <v>564</v>
      </c>
      <c r="AK152" s="1" t="s">
        <v>3</v>
      </c>
      <c r="AL152" s="1" t="s">
        <v>3</v>
      </c>
      <c r="AM152" s="1" t="s">
        <v>564</v>
      </c>
      <c r="AN152" s="64" t="s">
        <v>564</v>
      </c>
      <c r="AO152" s="64" t="s">
        <v>564</v>
      </c>
      <c r="AP152" s="64" t="s">
        <v>564</v>
      </c>
      <c r="AQ152" s="64" t="s">
        <v>564</v>
      </c>
      <c r="AR152" s="64" t="s">
        <v>564</v>
      </c>
      <c r="AS152" s="42" t="s">
        <v>3</v>
      </c>
      <c r="AT152" s="42" t="s">
        <v>3</v>
      </c>
      <c r="AU152" s="42" t="s">
        <v>3</v>
      </c>
      <c r="AV152" s="42" t="s">
        <v>3</v>
      </c>
      <c r="AW152" s="53" t="s">
        <v>3</v>
      </c>
      <c r="AX152" s="53" t="s">
        <v>3</v>
      </c>
      <c r="AY152" s="57" t="s">
        <v>3</v>
      </c>
      <c r="AZ152" s="57" t="s">
        <v>3</v>
      </c>
      <c r="BA152" s="121" t="s">
        <v>3</v>
      </c>
      <c r="BB152" s="4" t="s">
        <v>3</v>
      </c>
      <c r="BC152" s="38" t="s">
        <v>3</v>
      </c>
      <c r="BD152" s="3" t="s">
        <v>3</v>
      </c>
    </row>
    <row r="153" spans="1:56" ht="15" customHeight="1" x14ac:dyDescent="0.25">
      <c r="A153" s="38" t="s">
        <v>43</v>
      </c>
      <c r="B153" s="38" t="s">
        <v>139</v>
      </c>
      <c r="C153" s="38" t="s">
        <v>262</v>
      </c>
      <c r="D153" s="48">
        <v>345.18600400000003</v>
      </c>
      <c r="E153" s="92">
        <f t="shared" si="2"/>
        <v>0</v>
      </c>
      <c r="F153" s="12" t="s">
        <v>564</v>
      </c>
      <c r="G153" s="12" t="s">
        <v>564</v>
      </c>
      <c r="H153" s="12" t="s">
        <v>564</v>
      </c>
      <c r="I153" s="11" t="s">
        <v>3</v>
      </c>
      <c r="J153" s="11" t="s">
        <v>3</v>
      </c>
      <c r="K153" s="114" t="s">
        <v>3</v>
      </c>
      <c r="L153" s="5" t="s">
        <v>3</v>
      </c>
      <c r="M153" s="5" t="s">
        <v>3</v>
      </c>
      <c r="N153" s="5" t="s">
        <v>3</v>
      </c>
      <c r="O153" s="5" t="s">
        <v>3</v>
      </c>
      <c r="P153" s="5" t="s">
        <v>3</v>
      </c>
      <c r="Q153" s="5" t="s">
        <v>3</v>
      </c>
      <c r="R153" s="5" t="s">
        <v>3</v>
      </c>
      <c r="S153" s="5" t="s">
        <v>3</v>
      </c>
      <c r="T153" s="5" t="s">
        <v>3</v>
      </c>
      <c r="U153" s="5" t="s">
        <v>3</v>
      </c>
      <c r="V153" s="5" t="s">
        <v>3</v>
      </c>
      <c r="W153" s="14" t="s">
        <v>564</v>
      </c>
      <c r="X153" s="14" t="s">
        <v>564</v>
      </c>
      <c r="Y153" s="14" t="s">
        <v>564</v>
      </c>
      <c r="Z153" s="40" t="s">
        <v>3</v>
      </c>
      <c r="AA153" s="6" t="s">
        <v>3</v>
      </c>
      <c r="AB153" s="6" t="s">
        <v>3</v>
      </c>
      <c r="AC153" s="8" t="s">
        <v>3</v>
      </c>
      <c r="AD153" s="8" t="s">
        <v>3</v>
      </c>
      <c r="AE153" s="3" t="s">
        <v>3</v>
      </c>
      <c r="AF153" s="3" t="s">
        <v>3</v>
      </c>
      <c r="AG153" s="3" t="s">
        <v>3</v>
      </c>
      <c r="AH153" s="3" t="s">
        <v>3</v>
      </c>
      <c r="AI153" s="1" t="s">
        <v>3</v>
      </c>
      <c r="AJ153" s="1" t="s">
        <v>564</v>
      </c>
      <c r="AK153" s="1" t="s">
        <v>3</v>
      </c>
      <c r="AL153" s="1" t="s">
        <v>3</v>
      </c>
      <c r="AM153" s="1" t="s">
        <v>564</v>
      </c>
      <c r="AN153" s="64" t="s">
        <v>564</v>
      </c>
      <c r="AO153" s="64" t="s">
        <v>564</v>
      </c>
      <c r="AP153" s="64" t="s">
        <v>564</v>
      </c>
      <c r="AQ153" s="64" t="s">
        <v>564</v>
      </c>
      <c r="AR153" s="64" t="s">
        <v>564</v>
      </c>
      <c r="AS153" s="42" t="s">
        <v>3</v>
      </c>
      <c r="AT153" s="42" t="s">
        <v>3</v>
      </c>
      <c r="AU153" s="42" t="s">
        <v>3</v>
      </c>
      <c r="AV153" s="42" t="s">
        <v>3</v>
      </c>
      <c r="AW153" s="53" t="s">
        <v>3</v>
      </c>
      <c r="AX153" s="53" t="s">
        <v>3</v>
      </c>
      <c r="AY153" s="57" t="s">
        <v>3</v>
      </c>
      <c r="AZ153" s="57" t="s">
        <v>3</v>
      </c>
      <c r="BA153" s="121" t="s">
        <v>3</v>
      </c>
      <c r="BB153" s="4" t="s">
        <v>3</v>
      </c>
      <c r="BC153" s="38" t="s">
        <v>3</v>
      </c>
      <c r="BD153" s="3" t="s">
        <v>3</v>
      </c>
    </row>
    <row r="154" spans="1:56" ht="15" customHeight="1" x14ac:dyDescent="0.25">
      <c r="A154" s="38" t="s">
        <v>44</v>
      </c>
      <c r="B154" s="38" t="s">
        <v>139</v>
      </c>
      <c r="C154" s="38" t="s">
        <v>263</v>
      </c>
      <c r="D154" s="48">
        <v>249.02270300000001</v>
      </c>
      <c r="E154" s="92">
        <f t="shared" si="2"/>
        <v>29.166666666666668</v>
      </c>
      <c r="F154" s="12" t="s">
        <v>564</v>
      </c>
      <c r="G154" s="12" t="s">
        <v>564</v>
      </c>
      <c r="H154" s="12" t="s">
        <v>564</v>
      </c>
      <c r="I154" s="11" t="s">
        <v>3</v>
      </c>
      <c r="J154" s="11" t="s">
        <v>3</v>
      </c>
      <c r="K154" s="115">
        <v>1763798</v>
      </c>
      <c r="L154" s="5" t="s">
        <v>3</v>
      </c>
      <c r="M154" s="5">
        <v>187079</v>
      </c>
      <c r="N154" s="5">
        <v>182557</v>
      </c>
      <c r="O154" s="5">
        <v>200369</v>
      </c>
      <c r="P154" s="5">
        <v>139199</v>
      </c>
      <c r="Q154" s="5">
        <v>250368</v>
      </c>
      <c r="R154" s="5">
        <v>273106</v>
      </c>
      <c r="S154" s="5">
        <v>195945</v>
      </c>
      <c r="T154" s="5">
        <v>165830</v>
      </c>
      <c r="U154" s="5">
        <v>388501</v>
      </c>
      <c r="V154" s="5">
        <v>105098</v>
      </c>
      <c r="W154" s="14" t="s">
        <v>564</v>
      </c>
      <c r="X154" s="14" t="s">
        <v>564</v>
      </c>
      <c r="Y154" s="14" t="s">
        <v>564</v>
      </c>
      <c r="Z154" s="40">
        <v>2908663</v>
      </c>
      <c r="AA154" s="6" t="s">
        <v>3</v>
      </c>
      <c r="AB154" s="6">
        <v>22543360</v>
      </c>
      <c r="AC154" s="8" t="s">
        <v>3</v>
      </c>
      <c r="AD154" s="8" t="s">
        <v>3</v>
      </c>
      <c r="AE154" s="136">
        <v>856</v>
      </c>
      <c r="AF154" s="3" t="s">
        <v>3</v>
      </c>
      <c r="AG154" s="3" t="s">
        <v>3</v>
      </c>
      <c r="AH154" s="3" t="s">
        <v>3</v>
      </c>
      <c r="AI154" s="1" t="s">
        <v>3</v>
      </c>
      <c r="AJ154" s="1" t="s">
        <v>564</v>
      </c>
      <c r="AK154" s="2" t="s">
        <v>3</v>
      </c>
      <c r="AL154" s="1" t="s">
        <v>3</v>
      </c>
      <c r="AM154" s="1" t="s">
        <v>564</v>
      </c>
      <c r="AN154" s="64" t="s">
        <v>564</v>
      </c>
      <c r="AO154" s="64" t="s">
        <v>564</v>
      </c>
      <c r="AP154" s="64" t="s">
        <v>564</v>
      </c>
      <c r="AQ154" s="64" t="s">
        <v>564</v>
      </c>
      <c r="AR154" s="64" t="s">
        <v>564</v>
      </c>
      <c r="AS154" s="42" t="s">
        <v>3</v>
      </c>
      <c r="AT154" s="42" t="s">
        <v>3</v>
      </c>
      <c r="AU154" s="42" t="s">
        <v>3</v>
      </c>
      <c r="AV154" s="130">
        <v>2636</v>
      </c>
      <c r="AW154" s="53" t="s">
        <v>3</v>
      </c>
      <c r="AX154" s="53" t="s">
        <v>3</v>
      </c>
      <c r="AY154" s="57" t="s">
        <v>3</v>
      </c>
      <c r="AZ154" s="57" t="s">
        <v>3</v>
      </c>
      <c r="BA154" s="121" t="s">
        <v>3</v>
      </c>
      <c r="BB154" s="4" t="s">
        <v>3</v>
      </c>
      <c r="BC154" s="38" t="s">
        <v>3</v>
      </c>
      <c r="BD154" s="3" t="s">
        <v>3</v>
      </c>
    </row>
    <row r="155" spans="1:56" ht="15" customHeight="1" x14ac:dyDescent="0.25">
      <c r="A155" s="38" t="s">
        <v>45</v>
      </c>
      <c r="B155" s="38" t="s">
        <v>139</v>
      </c>
      <c r="C155" s="38" t="s">
        <v>264</v>
      </c>
      <c r="D155" s="48">
        <v>309.18600400000003</v>
      </c>
      <c r="E155" s="92">
        <f t="shared" si="2"/>
        <v>0</v>
      </c>
      <c r="F155" s="12" t="s">
        <v>564</v>
      </c>
      <c r="G155" s="12" t="s">
        <v>564</v>
      </c>
      <c r="H155" s="12" t="s">
        <v>564</v>
      </c>
      <c r="I155" s="11" t="s">
        <v>3</v>
      </c>
      <c r="J155" s="11" t="s">
        <v>3</v>
      </c>
      <c r="K155" s="114" t="s">
        <v>3</v>
      </c>
      <c r="L155" s="4" t="s">
        <v>3</v>
      </c>
      <c r="M155" s="4" t="s">
        <v>3</v>
      </c>
      <c r="N155" s="4" t="s">
        <v>3</v>
      </c>
      <c r="O155" s="4" t="s">
        <v>3</v>
      </c>
      <c r="P155" s="4" t="s">
        <v>3</v>
      </c>
      <c r="Q155" s="4" t="s">
        <v>3</v>
      </c>
      <c r="R155" s="4" t="s">
        <v>3</v>
      </c>
      <c r="S155" s="4" t="s">
        <v>3</v>
      </c>
      <c r="T155" s="4" t="s">
        <v>3</v>
      </c>
      <c r="U155" s="4" t="s">
        <v>3</v>
      </c>
      <c r="V155" s="4" t="s">
        <v>3</v>
      </c>
      <c r="W155" s="14" t="s">
        <v>564</v>
      </c>
      <c r="X155" s="14" t="s">
        <v>564</v>
      </c>
      <c r="Y155" s="14" t="s">
        <v>564</v>
      </c>
      <c r="Z155" s="39" t="s">
        <v>3</v>
      </c>
      <c r="AA155" s="7" t="s">
        <v>3</v>
      </c>
      <c r="AB155" s="7" t="s">
        <v>3</v>
      </c>
      <c r="AC155" s="9" t="s">
        <v>3</v>
      </c>
      <c r="AD155" s="9" t="s">
        <v>3</v>
      </c>
      <c r="AE155" s="3" t="s">
        <v>3</v>
      </c>
      <c r="AF155" s="3" t="s">
        <v>3</v>
      </c>
      <c r="AG155" s="3" t="s">
        <v>3</v>
      </c>
      <c r="AH155" s="3" t="s">
        <v>3</v>
      </c>
      <c r="AI155" s="1" t="s">
        <v>3</v>
      </c>
      <c r="AJ155" s="1" t="s">
        <v>564</v>
      </c>
      <c r="AK155" s="1" t="s">
        <v>3</v>
      </c>
      <c r="AL155" s="1" t="s">
        <v>3</v>
      </c>
      <c r="AM155" s="1" t="s">
        <v>564</v>
      </c>
      <c r="AN155" s="64" t="s">
        <v>564</v>
      </c>
      <c r="AO155" s="64" t="s">
        <v>564</v>
      </c>
      <c r="AP155" s="64" t="s">
        <v>564</v>
      </c>
      <c r="AQ155" s="64" t="s">
        <v>564</v>
      </c>
      <c r="AR155" s="64" t="s">
        <v>564</v>
      </c>
      <c r="AS155" s="42" t="s">
        <v>3</v>
      </c>
      <c r="AT155" s="42" t="s">
        <v>3</v>
      </c>
      <c r="AU155" s="42" t="s">
        <v>3</v>
      </c>
      <c r="AV155" s="42" t="s">
        <v>3</v>
      </c>
      <c r="AW155" s="53" t="s">
        <v>3</v>
      </c>
      <c r="AX155" s="53" t="s">
        <v>3</v>
      </c>
      <c r="AY155" s="57" t="s">
        <v>3</v>
      </c>
      <c r="AZ155" s="57" t="s">
        <v>3</v>
      </c>
      <c r="BA155" s="121" t="s">
        <v>3</v>
      </c>
      <c r="BB155" s="4" t="s">
        <v>3</v>
      </c>
      <c r="BC155" s="38" t="s">
        <v>3</v>
      </c>
      <c r="BD155" s="3" t="s">
        <v>3</v>
      </c>
    </row>
    <row r="156" spans="1:56" ht="15" customHeight="1" x14ac:dyDescent="0.25">
      <c r="A156" s="38" t="s">
        <v>46</v>
      </c>
      <c r="B156" s="38" t="s">
        <v>139</v>
      </c>
      <c r="C156" s="38" t="s">
        <v>265</v>
      </c>
      <c r="D156" s="48">
        <v>267.13905299999999</v>
      </c>
      <c r="E156" s="92">
        <f t="shared" si="2"/>
        <v>0</v>
      </c>
      <c r="F156" s="12" t="s">
        <v>564</v>
      </c>
      <c r="G156" s="12" t="s">
        <v>564</v>
      </c>
      <c r="H156" s="12" t="s">
        <v>564</v>
      </c>
      <c r="I156" s="11" t="s">
        <v>3</v>
      </c>
      <c r="J156" s="11" t="s">
        <v>3</v>
      </c>
      <c r="K156" s="114" t="s">
        <v>3</v>
      </c>
      <c r="L156" s="4" t="s">
        <v>3</v>
      </c>
      <c r="M156" s="4" t="s">
        <v>3</v>
      </c>
      <c r="N156" s="4" t="s">
        <v>3</v>
      </c>
      <c r="O156" s="4" t="s">
        <v>3</v>
      </c>
      <c r="P156" s="4" t="s">
        <v>3</v>
      </c>
      <c r="Q156" s="4" t="s">
        <v>3</v>
      </c>
      <c r="R156" s="5" t="s">
        <v>3</v>
      </c>
      <c r="S156" s="5" t="s">
        <v>3</v>
      </c>
      <c r="T156" s="5" t="s">
        <v>3</v>
      </c>
      <c r="U156" s="5" t="s">
        <v>3</v>
      </c>
      <c r="V156" s="5" t="s">
        <v>3</v>
      </c>
      <c r="W156" s="14" t="s">
        <v>564</v>
      </c>
      <c r="X156" s="14" t="s">
        <v>564</v>
      </c>
      <c r="Y156" s="14" t="s">
        <v>564</v>
      </c>
      <c r="Z156" s="40" t="s">
        <v>3</v>
      </c>
      <c r="AA156" s="6" t="s">
        <v>3</v>
      </c>
      <c r="AB156" s="6" t="s">
        <v>3</v>
      </c>
      <c r="AC156" s="8" t="s">
        <v>3</v>
      </c>
      <c r="AD156" s="8" t="s">
        <v>3</v>
      </c>
      <c r="AE156" s="3" t="s">
        <v>3</v>
      </c>
      <c r="AF156" s="3" t="s">
        <v>3</v>
      </c>
      <c r="AG156" s="3" t="s">
        <v>3</v>
      </c>
      <c r="AH156" s="3" t="s">
        <v>3</v>
      </c>
      <c r="AI156" s="1" t="s">
        <v>3</v>
      </c>
      <c r="AJ156" s="1" t="s">
        <v>564</v>
      </c>
      <c r="AK156" s="1" t="s">
        <v>3</v>
      </c>
      <c r="AL156" s="1" t="s">
        <v>3</v>
      </c>
      <c r="AM156" s="1" t="s">
        <v>564</v>
      </c>
      <c r="AN156" s="64" t="s">
        <v>564</v>
      </c>
      <c r="AO156" s="64" t="s">
        <v>564</v>
      </c>
      <c r="AP156" s="64" t="s">
        <v>564</v>
      </c>
      <c r="AQ156" s="64" t="s">
        <v>564</v>
      </c>
      <c r="AR156" s="64" t="s">
        <v>564</v>
      </c>
      <c r="AS156" s="42" t="s">
        <v>3</v>
      </c>
      <c r="AT156" s="42" t="s">
        <v>3</v>
      </c>
      <c r="AU156" s="42" t="s">
        <v>3</v>
      </c>
      <c r="AV156" s="42" t="s">
        <v>3</v>
      </c>
      <c r="AW156" s="53" t="s">
        <v>3</v>
      </c>
      <c r="AX156" s="53" t="s">
        <v>3</v>
      </c>
      <c r="AY156" s="57" t="s">
        <v>3</v>
      </c>
      <c r="AZ156" s="57" t="s">
        <v>3</v>
      </c>
      <c r="BA156" s="121" t="s">
        <v>3</v>
      </c>
      <c r="BB156" s="4" t="s">
        <v>3</v>
      </c>
      <c r="BC156" s="38" t="s">
        <v>3</v>
      </c>
      <c r="BD156" s="3" t="s">
        <v>3</v>
      </c>
    </row>
    <row r="157" spans="1:56" ht="15" customHeight="1" x14ac:dyDescent="0.25">
      <c r="A157" s="38" t="s">
        <v>47</v>
      </c>
      <c r="B157" s="38" t="s">
        <v>139</v>
      </c>
      <c r="C157" s="38" t="s">
        <v>266</v>
      </c>
      <c r="D157" s="48">
        <v>542.74580200000003</v>
      </c>
      <c r="E157" s="92">
        <f t="shared" si="2"/>
        <v>0</v>
      </c>
      <c r="F157" s="12" t="s">
        <v>564</v>
      </c>
      <c r="G157" s="12" t="s">
        <v>564</v>
      </c>
      <c r="H157" s="12" t="s">
        <v>564</v>
      </c>
      <c r="I157" s="11" t="s">
        <v>3</v>
      </c>
      <c r="J157" s="11" t="s">
        <v>3</v>
      </c>
      <c r="K157" s="114" t="s">
        <v>3</v>
      </c>
      <c r="L157" s="4" t="s">
        <v>3</v>
      </c>
      <c r="M157" s="4" t="s">
        <v>3</v>
      </c>
      <c r="N157" s="4" t="s">
        <v>3</v>
      </c>
      <c r="O157" s="4" t="s">
        <v>3</v>
      </c>
      <c r="P157" s="4" t="s">
        <v>3</v>
      </c>
      <c r="Q157" s="4" t="s">
        <v>3</v>
      </c>
      <c r="R157" s="5" t="s">
        <v>3</v>
      </c>
      <c r="S157" s="5" t="s">
        <v>3</v>
      </c>
      <c r="T157" s="5" t="s">
        <v>3</v>
      </c>
      <c r="U157" s="5" t="s">
        <v>3</v>
      </c>
      <c r="V157" s="5" t="s">
        <v>3</v>
      </c>
      <c r="W157" s="14" t="s">
        <v>564</v>
      </c>
      <c r="X157" s="14" t="s">
        <v>564</v>
      </c>
      <c r="Y157" s="14" t="s">
        <v>564</v>
      </c>
      <c r="Z157" s="40" t="s">
        <v>3</v>
      </c>
      <c r="AA157" s="6" t="s">
        <v>3</v>
      </c>
      <c r="AB157" s="6" t="s">
        <v>3</v>
      </c>
      <c r="AC157" s="8" t="s">
        <v>3</v>
      </c>
      <c r="AD157" s="8" t="s">
        <v>3</v>
      </c>
      <c r="AE157" s="3" t="s">
        <v>3</v>
      </c>
      <c r="AF157" s="3" t="s">
        <v>3</v>
      </c>
      <c r="AG157" s="3" t="s">
        <v>3</v>
      </c>
      <c r="AH157" s="3" t="s">
        <v>3</v>
      </c>
      <c r="AI157" s="1" t="s">
        <v>3</v>
      </c>
      <c r="AJ157" s="1" t="s">
        <v>564</v>
      </c>
      <c r="AK157" s="1" t="s">
        <v>3</v>
      </c>
      <c r="AL157" s="1" t="s">
        <v>3</v>
      </c>
      <c r="AM157" s="1" t="s">
        <v>564</v>
      </c>
      <c r="AN157" s="64" t="s">
        <v>564</v>
      </c>
      <c r="AO157" s="64" t="s">
        <v>564</v>
      </c>
      <c r="AP157" s="64" t="s">
        <v>564</v>
      </c>
      <c r="AQ157" s="64" t="s">
        <v>564</v>
      </c>
      <c r="AR157" s="64" t="s">
        <v>564</v>
      </c>
      <c r="AS157" s="42" t="s">
        <v>3</v>
      </c>
      <c r="AT157" s="42" t="s">
        <v>3</v>
      </c>
      <c r="AU157" s="42" t="s">
        <v>3</v>
      </c>
      <c r="AV157" s="42" t="s">
        <v>3</v>
      </c>
      <c r="AW157" s="53" t="s">
        <v>3</v>
      </c>
      <c r="AX157" s="53" t="s">
        <v>3</v>
      </c>
      <c r="AY157" s="57" t="s">
        <v>3</v>
      </c>
      <c r="AZ157" s="57" t="s">
        <v>3</v>
      </c>
      <c r="BA157" s="121" t="s">
        <v>3</v>
      </c>
      <c r="BB157" s="4" t="s">
        <v>3</v>
      </c>
      <c r="BC157" s="38" t="s">
        <v>3</v>
      </c>
      <c r="BD157" s="3" t="s">
        <v>3</v>
      </c>
    </row>
    <row r="158" spans="1:56" ht="15" customHeight="1" x14ac:dyDescent="0.25">
      <c r="A158" s="38" t="s">
        <v>48</v>
      </c>
      <c r="B158" s="38" t="s">
        <v>139</v>
      </c>
      <c r="C158" s="38" t="s">
        <v>267</v>
      </c>
      <c r="D158" s="48">
        <v>161.98665199999999</v>
      </c>
      <c r="E158" s="92">
        <f t="shared" si="2"/>
        <v>47.916666666666671</v>
      </c>
      <c r="F158" s="12" t="s">
        <v>564</v>
      </c>
      <c r="G158" s="12" t="s">
        <v>564</v>
      </c>
      <c r="H158" s="12" t="s">
        <v>564</v>
      </c>
      <c r="I158" s="127">
        <v>14715</v>
      </c>
      <c r="J158" s="127">
        <v>18190</v>
      </c>
      <c r="K158" s="114" t="s">
        <v>3</v>
      </c>
      <c r="L158" s="5" t="s">
        <v>3</v>
      </c>
      <c r="M158" s="5">
        <v>10473256</v>
      </c>
      <c r="N158" s="5">
        <v>11420721</v>
      </c>
      <c r="O158" s="5">
        <v>11858433</v>
      </c>
      <c r="P158" s="5">
        <v>10008342</v>
      </c>
      <c r="Q158" s="5">
        <v>12582458</v>
      </c>
      <c r="R158" s="5">
        <v>9445851</v>
      </c>
      <c r="S158" s="5">
        <v>9409595</v>
      </c>
      <c r="T158" s="5">
        <v>10019089</v>
      </c>
      <c r="U158" s="5">
        <v>8956213</v>
      </c>
      <c r="V158" s="5">
        <v>11471010</v>
      </c>
      <c r="W158" s="14" t="s">
        <v>564</v>
      </c>
      <c r="X158" s="14" t="s">
        <v>564</v>
      </c>
      <c r="Y158" s="14" t="s">
        <v>564</v>
      </c>
      <c r="Z158" s="40">
        <v>6365347</v>
      </c>
      <c r="AA158" s="6">
        <v>38010320</v>
      </c>
      <c r="AB158" s="6" t="s">
        <v>3</v>
      </c>
      <c r="AC158" s="8">
        <v>16281602</v>
      </c>
      <c r="AD158" s="8" t="s">
        <v>3</v>
      </c>
      <c r="AE158" s="3">
        <v>12364</v>
      </c>
      <c r="AF158" s="3">
        <v>8892</v>
      </c>
      <c r="AG158" s="3" t="s">
        <v>3</v>
      </c>
      <c r="AH158" s="3" t="s">
        <v>3</v>
      </c>
      <c r="AI158" s="1">
        <v>53426</v>
      </c>
      <c r="AJ158" s="1" t="s">
        <v>564</v>
      </c>
      <c r="AK158" s="2">
        <v>130392</v>
      </c>
      <c r="AL158" s="2">
        <v>15803</v>
      </c>
      <c r="AM158" s="1" t="s">
        <v>564</v>
      </c>
      <c r="AN158" s="64" t="s">
        <v>564</v>
      </c>
      <c r="AO158" s="64" t="s">
        <v>564</v>
      </c>
      <c r="AP158" s="64" t="s">
        <v>564</v>
      </c>
      <c r="AQ158" s="64" t="s">
        <v>564</v>
      </c>
      <c r="AR158" s="64" t="s">
        <v>564</v>
      </c>
      <c r="AS158" s="42">
        <v>4836</v>
      </c>
      <c r="AT158" s="42">
        <v>2716</v>
      </c>
      <c r="AU158" s="42">
        <v>6046</v>
      </c>
      <c r="AV158" s="42">
        <v>3485</v>
      </c>
      <c r="AW158" s="53">
        <v>26112</v>
      </c>
      <c r="AX158" s="53" t="s">
        <v>3</v>
      </c>
      <c r="AY158" s="57" t="s">
        <v>3</v>
      </c>
      <c r="AZ158" s="57" t="s">
        <v>3</v>
      </c>
      <c r="BA158" s="121" t="s">
        <v>3</v>
      </c>
      <c r="BB158" s="4" t="s">
        <v>3</v>
      </c>
      <c r="BC158" s="38" t="s">
        <v>137</v>
      </c>
      <c r="BD158" s="3">
        <v>23088</v>
      </c>
    </row>
    <row r="159" spans="1:56" ht="15" customHeight="1" x14ac:dyDescent="0.25">
      <c r="A159" s="38" t="s">
        <v>50</v>
      </c>
      <c r="B159" s="38" t="s">
        <v>139</v>
      </c>
      <c r="C159" s="38" t="s">
        <v>268</v>
      </c>
      <c r="D159" s="48">
        <v>395.007274</v>
      </c>
      <c r="E159" s="92">
        <f t="shared" si="2"/>
        <v>41.666666666666671</v>
      </c>
      <c r="F159" s="12" t="s">
        <v>564</v>
      </c>
      <c r="G159" s="12" t="s">
        <v>564</v>
      </c>
      <c r="H159" s="12" t="s">
        <v>564</v>
      </c>
      <c r="I159" s="11" t="s">
        <v>3</v>
      </c>
      <c r="J159" s="11" t="s">
        <v>3</v>
      </c>
      <c r="K159" s="115">
        <v>219371</v>
      </c>
      <c r="L159" s="5" t="s">
        <v>3</v>
      </c>
      <c r="M159" s="5">
        <v>10150</v>
      </c>
      <c r="N159" s="5">
        <v>16289</v>
      </c>
      <c r="O159" s="5">
        <v>14881</v>
      </c>
      <c r="P159" s="5">
        <v>16061</v>
      </c>
      <c r="Q159" s="5">
        <v>11891</v>
      </c>
      <c r="R159" s="5">
        <v>11349</v>
      </c>
      <c r="S159" s="5">
        <v>11091</v>
      </c>
      <c r="T159" s="5">
        <v>9916</v>
      </c>
      <c r="U159" s="5">
        <v>7231</v>
      </c>
      <c r="V159" s="5">
        <v>12212</v>
      </c>
      <c r="W159" s="14" t="s">
        <v>564</v>
      </c>
      <c r="X159" s="14" t="s">
        <v>564</v>
      </c>
      <c r="Y159" s="14" t="s">
        <v>564</v>
      </c>
      <c r="Z159" s="40">
        <v>442355</v>
      </c>
      <c r="AA159" s="6">
        <v>714299</v>
      </c>
      <c r="AB159" s="6" t="s">
        <v>3</v>
      </c>
      <c r="AC159" s="8">
        <v>75471</v>
      </c>
      <c r="AD159" s="8" t="s">
        <v>3</v>
      </c>
      <c r="AE159" s="3">
        <v>3856</v>
      </c>
      <c r="AF159" s="3">
        <v>6668</v>
      </c>
      <c r="AG159" s="3" t="s">
        <v>3</v>
      </c>
      <c r="AH159" s="3" t="s">
        <v>3</v>
      </c>
      <c r="AI159" s="1">
        <v>180155</v>
      </c>
      <c r="AJ159" s="1" t="s">
        <v>564</v>
      </c>
      <c r="AK159" s="2">
        <v>361049</v>
      </c>
      <c r="AL159" s="2">
        <v>51975</v>
      </c>
      <c r="AM159" s="1" t="s">
        <v>564</v>
      </c>
      <c r="AN159" s="64" t="s">
        <v>564</v>
      </c>
      <c r="AO159" s="64" t="s">
        <v>564</v>
      </c>
      <c r="AP159" s="64" t="s">
        <v>564</v>
      </c>
      <c r="AQ159" s="64" t="s">
        <v>564</v>
      </c>
      <c r="AR159" s="64" t="s">
        <v>564</v>
      </c>
      <c r="AS159" s="42" t="s">
        <v>3</v>
      </c>
      <c r="AT159" s="42" t="s">
        <v>3</v>
      </c>
      <c r="AU159" s="42" t="s">
        <v>3</v>
      </c>
      <c r="AV159" s="42" t="s">
        <v>3</v>
      </c>
      <c r="AW159" s="53" t="s">
        <v>3</v>
      </c>
      <c r="AX159" s="53" t="s">
        <v>3</v>
      </c>
      <c r="AY159" s="57" t="s">
        <v>3</v>
      </c>
      <c r="AZ159" s="57">
        <v>100839</v>
      </c>
      <c r="BA159" s="121">
        <v>480576</v>
      </c>
      <c r="BB159" s="4" t="s">
        <v>3</v>
      </c>
      <c r="BC159" s="38" t="s">
        <v>137</v>
      </c>
      <c r="BD159" s="3">
        <v>3844</v>
      </c>
    </row>
    <row r="160" spans="1:56" x14ac:dyDescent="0.25">
      <c r="I160" s="11"/>
      <c r="J160" s="11"/>
    </row>
    <row r="161" spans="9:10" x14ac:dyDescent="0.25">
      <c r="I161" s="11"/>
      <c r="J161" s="11"/>
    </row>
  </sheetData>
  <conditionalFormatting sqref="Z75">
    <cfRule type="cellIs" dxfId="295" priority="25" operator="greaterThan">
      <formula>5</formula>
    </cfRule>
  </conditionalFormatting>
  <conditionalFormatting sqref="Z103">
    <cfRule type="cellIs" dxfId="294" priority="24" operator="greaterThan">
      <formula>5</formula>
    </cfRule>
  </conditionalFormatting>
  <conditionalFormatting sqref="Z105">
    <cfRule type="cellIs" dxfId="293" priority="23" operator="greaterThan">
      <formula>5</formula>
    </cfRule>
  </conditionalFormatting>
  <conditionalFormatting sqref="Z109">
    <cfRule type="cellIs" dxfId="292" priority="22" operator="greaterThan">
      <formula>5</formula>
    </cfRule>
  </conditionalFormatting>
  <conditionalFormatting sqref="L147 Z147">
    <cfRule type="cellIs" dxfId="291" priority="21" operator="greaterThan">
      <formula>5</formula>
    </cfRule>
  </conditionalFormatting>
  <conditionalFormatting sqref="L3:V3 Z3">
    <cfRule type="cellIs" dxfId="290" priority="20" operator="greaterThan">
      <formula>5</formula>
    </cfRule>
  </conditionalFormatting>
  <conditionalFormatting sqref="L2:V2 Z2">
    <cfRule type="cellIs" dxfId="289" priority="19" operator="greaterThan">
      <formula>5</formula>
    </cfRule>
  </conditionalFormatting>
  <conditionalFormatting sqref="Z157 R157:V157">
    <cfRule type="cellIs" dxfId="288" priority="18" operator="greaterThan">
      <formula>5</formula>
    </cfRule>
  </conditionalFormatting>
  <conditionalFormatting sqref="Z156 R156:V156">
    <cfRule type="cellIs" dxfId="287" priority="17" operator="greaterThan">
      <formula>5</formula>
    </cfRule>
  </conditionalFormatting>
  <conditionalFormatting sqref="L150 Z150 S150">
    <cfRule type="cellIs" dxfId="286" priority="16" operator="greaterThan">
      <formula>5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60"/>
  <sheetViews>
    <sheetView zoomScaleNormal="100" zoomScalePageLayoutView="8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K18" sqref="K18"/>
    </sheetView>
  </sheetViews>
  <sheetFormatPr baseColWidth="10" defaultColWidth="9.140625" defaultRowHeight="15" x14ac:dyDescent="0.25"/>
  <cols>
    <col min="1" max="1" width="12.140625" style="38" hidden="1" customWidth="1"/>
    <col min="2" max="2" width="31.7109375" style="38" bestFit="1" customWidth="1"/>
    <col min="3" max="3" width="9.85546875" style="38" hidden="1" customWidth="1"/>
    <col min="4" max="4" width="14.140625" style="38" hidden="1" customWidth="1"/>
    <col min="5" max="5" width="14.140625" style="48" hidden="1" customWidth="1"/>
    <col min="6" max="6" width="35.28515625" style="12" bestFit="1" customWidth="1"/>
    <col min="7" max="8" width="25.140625" style="12" customWidth="1"/>
    <col min="9" max="10" width="25.140625" style="11" customWidth="1"/>
    <col min="11" max="11" width="25.140625" style="114" customWidth="1"/>
    <col min="12" max="12" width="33" style="4" customWidth="1"/>
    <col min="13" max="19" width="34.140625" style="4" customWidth="1"/>
    <col min="20" max="22" width="35.140625" style="4" customWidth="1"/>
    <col min="23" max="25" width="25.140625" style="14" customWidth="1"/>
    <col min="26" max="26" width="25.140625" style="39" customWidth="1"/>
    <col min="27" max="27" width="36.140625" style="7" customWidth="1"/>
    <col min="28" max="28" width="34.42578125" style="7" customWidth="1"/>
    <col min="29" max="29" width="27.85546875" style="9" customWidth="1"/>
    <col min="30" max="30" width="34" style="9" customWidth="1"/>
    <col min="31" max="33" width="25.140625" style="3" customWidth="1"/>
    <col min="34" max="34" width="33.5703125" style="3" customWidth="1"/>
    <col min="35" max="35" width="25.140625" style="1" customWidth="1"/>
    <col min="36" max="36" width="31.85546875" style="1" customWidth="1"/>
    <col min="37" max="37" width="32" style="1" customWidth="1"/>
    <col min="38" max="39" width="25.140625" style="1" customWidth="1"/>
    <col min="40" max="42" width="19.28515625" style="65" customWidth="1"/>
    <col min="43" max="43" width="20.140625" style="65" customWidth="1"/>
    <col min="44" max="44" width="19.28515625" style="65" customWidth="1"/>
    <col min="45" max="48" width="25.140625" style="42" customWidth="1"/>
    <col min="49" max="49" width="21" style="53" customWidth="1"/>
    <col min="50" max="50" width="20.42578125" style="53" customWidth="1"/>
    <col min="51" max="51" width="29.85546875" style="57" customWidth="1"/>
    <col min="52" max="52" width="30" style="57" customWidth="1"/>
    <col min="53" max="53" width="24.85546875" style="121" customWidth="1"/>
    <col min="54" max="16384" width="9.140625" style="38"/>
  </cols>
  <sheetData>
    <row r="1" spans="1:53" ht="30" x14ac:dyDescent="0.25">
      <c r="A1" s="38" t="s">
        <v>688</v>
      </c>
      <c r="B1" s="31" t="s">
        <v>125</v>
      </c>
      <c r="C1" s="31" t="s">
        <v>299</v>
      </c>
      <c r="D1" s="31" t="s">
        <v>143</v>
      </c>
      <c r="E1" s="95" t="s">
        <v>274</v>
      </c>
      <c r="F1" s="47" t="s">
        <v>277</v>
      </c>
      <c r="G1" s="47" t="s">
        <v>645</v>
      </c>
      <c r="H1" s="47" t="s">
        <v>278</v>
      </c>
      <c r="I1" s="44" t="s">
        <v>280</v>
      </c>
      <c r="J1" s="44" t="s">
        <v>281</v>
      </c>
      <c r="K1" s="112" t="s">
        <v>282</v>
      </c>
      <c r="L1" s="32" t="s">
        <v>283</v>
      </c>
      <c r="M1" s="32" t="s">
        <v>1248</v>
      </c>
      <c r="N1" s="32" t="s">
        <v>1249</v>
      </c>
      <c r="O1" s="32" t="s">
        <v>1250</v>
      </c>
      <c r="P1" s="32" t="s">
        <v>1251</v>
      </c>
      <c r="Q1" s="32" t="s">
        <v>1252</v>
      </c>
      <c r="R1" s="32" t="s">
        <v>1253</v>
      </c>
      <c r="S1" s="32" t="s">
        <v>1254</v>
      </c>
      <c r="T1" s="32" t="s">
        <v>1255</v>
      </c>
      <c r="U1" s="32" t="s">
        <v>1256</v>
      </c>
      <c r="V1" s="32" t="s">
        <v>1257</v>
      </c>
      <c r="W1" s="43" t="s">
        <v>290</v>
      </c>
      <c r="X1" s="43" t="s">
        <v>291</v>
      </c>
      <c r="Y1" s="43" t="s">
        <v>292</v>
      </c>
      <c r="Z1" s="34" t="s">
        <v>284</v>
      </c>
      <c r="AA1" s="33" t="s">
        <v>286</v>
      </c>
      <c r="AB1" s="33" t="s">
        <v>287</v>
      </c>
      <c r="AC1" s="35" t="s">
        <v>288</v>
      </c>
      <c r="AD1" s="35" t="s">
        <v>289</v>
      </c>
      <c r="AE1" s="36" t="s">
        <v>126</v>
      </c>
      <c r="AF1" s="36" t="s">
        <v>130</v>
      </c>
      <c r="AG1" s="36" t="s">
        <v>127</v>
      </c>
      <c r="AH1" s="36" t="s">
        <v>128</v>
      </c>
      <c r="AI1" s="37" t="s">
        <v>133</v>
      </c>
      <c r="AJ1" s="37" t="s">
        <v>134</v>
      </c>
      <c r="AK1" s="37" t="s">
        <v>135</v>
      </c>
      <c r="AL1" s="37" t="s">
        <v>132</v>
      </c>
      <c r="AM1" s="37" t="s">
        <v>279</v>
      </c>
      <c r="AN1" s="65" t="s">
        <v>606</v>
      </c>
      <c r="AO1" s="65" t="s">
        <v>605</v>
      </c>
      <c r="AP1" s="65" t="s">
        <v>604</v>
      </c>
      <c r="AQ1" s="65" t="s">
        <v>603</v>
      </c>
      <c r="AR1" s="65" t="s">
        <v>602</v>
      </c>
      <c r="AS1" s="41" t="s">
        <v>297</v>
      </c>
      <c r="AT1" s="41" t="s">
        <v>295</v>
      </c>
      <c r="AU1" s="41" t="s">
        <v>298</v>
      </c>
      <c r="AV1" s="41" t="s">
        <v>296</v>
      </c>
      <c r="AW1" s="53" t="s">
        <v>567</v>
      </c>
      <c r="AX1" s="53" t="s">
        <v>568</v>
      </c>
      <c r="AY1" s="57" t="s">
        <v>569</v>
      </c>
      <c r="AZ1" s="57" t="s">
        <v>570</v>
      </c>
      <c r="BA1" s="121" t="s">
        <v>571</v>
      </c>
    </row>
    <row r="2" spans="1:53" ht="45" hidden="1" x14ac:dyDescent="0.25">
      <c r="A2" s="31" t="s">
        <v>430</v>
      </c>
      <c r="B2" s="49" t="s">
        <v>269</v>
      </c>
      <c r="C2" s="31" t="s">
        <v>269</v>
      </c>
      <c r="D2" s="31" t="s">
        <v>269</v>
      </c>
      <c r="E2" s="95" t="s">
        <v>269</v>
      </c>
      <c r="F2" s="47" t="s">
        <v>427</v>
      </c>
      <c r="G2" s="47" t="s">
        <v>427</v>
      </c>
      <c r="H2" s="47" t="s">
        <v>427</v>
      </c>
      <c r="I2" s="45" t="s">
        <v>425</v>
      </c>
      <c r="J2" s="45" t="s">
        <v>425</v>
      </c>
      <c r="K2" s="113" t="s">
        <v>426</v>
      </c>
      <c r="L2" s="32" t="s">
        <v>270</v>
      </c>
      <c r="M2" s="32" t="s">
        <v>270</v>
      </c>
      <c r="N2" s="32" t="s">
        <v>270</v>
      </c>
      <c r="O2" s="32" t="s">
        <v>270</v>
      </c>
      <c r="P2" s="32" t="s">
        <v>270</v>
      </c>
      <c r="Q2" s="32" t="s">
        <v>270</v>
      </c>
      <c r="R2" s="32" t="s">
        <v>270</v>
      </c>
      <c r="S2" s="32" t="s">
        <v>270</v>
      </c>
      <c r="T2" s="32" t="s">
        <v>270</v>
      </c>
      <c r="U2" s="32" t="s">
        <v>270</v>
      </c>
      <c r="V2" s="32" t="s">
        <v>270</v>
      </c>
      <c r="W2" s="43" t="s">
        <v>285</v>
      </c>
      <c r="X2" s="43" t="s">
        <v>285</v>
      </c>
      <c r="Y2" s="43" t="s">
        <v>285</v>
      </c>
      <c r="Z2" s="34" t="s">
        <v>270</v>
      </c>
      <c r="AA2" s="33" t="s">
        <v>285</v>
      </c>
      <c r="AB2" s="33" t="s">
        <v>285</v>
      </c>
      <c r="AC2" s="35" t="s">
        <v>285</v>
      </c>
      <c r="AD2" s="35" t="s">
        <v>285</v>
      </c>
      <c r="AE2" s="36" t="s">
        <v>428</v>
      </c>
      <c r="AF2" s="36" t="s">
        <v>428</v>
      </c>
      <c r="AG2" s="36" t="s">
        <v>428</v>
      </c>
      <c r="AH2" s="36" t="s">
        <v>428</v>
      </c>
      <c r="AI2" s="37" t="s">
        <v>141</v>
      </c>
      <c r="AJ2" s="37" t="s">
        <v>141</v>
      </c>
      <c r="AK2" s="37" t="s">
        <v>141</v>
      </c>
      <c r="AL2" s="37" t="s">
        <v>141</v>
      </c>
      <c r="AM2" s="37" t="s">
        <v>141</v>
      </c>
      <c r="AN2" s="65" t="s">
        <v>601</v>
      </c>
      <c r="AO2" s="65" t="s">
        <v>601</v>
      </c>
      <c r="AP2" s="65" t="s">
        <v>601</v>
      </c>
      <c r="AQ2" s="65" t="s">
        <v>601</v>
      </c>
      <c r="AR2" s="65" t="s">
        <v>601</v>
      </c>
      <c r="AS2" s="41" t="s">
        <v>429</v>
      </c>
      <c r="AT2" s="41" t="s">
        <v>429</v>
      </c>
      <c r="AU2" s="41" t="s">
        <v>429</v>
      </c>
      <c r="AV2" s="41" t="s">
        <v>429</v>
      </c>
      <c r="AW2" s="54" t="s">
        <v>572</v>
      </c>
      <c r="AX2" s="54" t="s">
        <v>572</v>
      </c>
      <c r="AY2" s="58" t="s">
        <v>572</v>
      </c>
      <c r="AZ2" s="58" t="s">
        <v>572</v>
      </c>
      <c r="BA2" s="122" t="s">
        <v>572</v>
      </c>
    </row>
    <row r="3" spans="1:53" ht="105" hidden="1" x14ac:dyDescent="0.25">
      <c r="A3" s="31" t="s">
        <v>300</v>
      </c>
      <c r="B3" s="49" t="s">
        <v>269</v>
      </c>
      <c r="C3" s="31" t="s">
        <v>269</v>
      </c>
      <c r="D3" s="31" t="s">
        <v>269</v>
      </c>
      <c r="E3" s="95" t="s">
        <v>269</v>
      </c>
      <c r="F3" s="47" t="s">
        <v>417</v>
      </c>
      <c r="G3" s="47" t="s">
        <v>418</v>
      </c>
      <c r="H3" s="47" t="s">
        <v>419</v>
      </c>
      <c r="I3" s="45" t="s">
        <v>420</v>
      </c>
      <c r="J3" s="45" t="s">
        <v>421</v>
      </c>
      <c r="K3" s="113" t="s">
        <v>422</v>
      </c>
      <c r="L3" s="32" t="s">
        <v>389</v>
      </c>
      <c r="M3" s="32" t="s">
        <v>390</v>
      </c>
      <c r="N3" s="32" t="s">
        <v>391</v>
      </c>
      <c r="O3" s="32" t="s">
        <v>392</v>
      </c>
      <c r="P3" s="32" t="s">
        <v>393</v>
      </c>
      <c r="Q3" s="32" t="s">
        <v>394</v>
      </c>
      <c r="R3" s="32" t="s">
        <v>395</v>
      </c>
      <c r="S3" s="32" t="s">
        <v>396</v>
      </c>
      <c r="T3" s="32" t="s">
        <v>397</v>
      </c>
      <c r="U3" s="32" t="s">
        <v>398</v>
      </c>
      <c r="V3" s="32" t="s">
        <v>399</v>
      </c>
      <c r="W3" s="43" t="s">
        <v>406</v>
      </c>
      <c r="X3" s="43" t="s">
        <v>407</v>
      </c>
      <c r="Y3" s="43" t="s">
        <v>405</v>
      </c>
      <c r="Z3" s="34" t="s">
        <v>400</v>
      </c>
      <c r="AA3" s="33" t="s">
        <v>401</v>
      </c>
      <c r="AB3" s="33" t="s">
        <v>402</v>
      </c>
      <c r="AC3" s="35" t="s">
        <v>404</v>
      </c>
      <c r="AD3" s="35" t="s">
        <v>403</v>
      </c>
      <c r="AE3" s="36" t="s">
        <v>408</v>
      </c>
      <c r="AF3" s="36" t="s">
        <v>409</v>
      </c>
      <c r="AG3" s="36" t="s">
        <v>411</v>
      </c>
      <c r="AH3" s="36" t="s">
        <v>410</v>
      </c>
      <c r="AI3" s="37" t="s">
        <v>415</v>
      </c>
      <c r="AJ3" s="37" t="s">
        <v>413</v>
      </c>
      <c r="AK3" s="37" t="s">
        <v>414</v>
      </c>
      <c r="AL3" s="37" t="s">
        <v>412</v>
      </c>
      <c r="AM3" s="37" t="s">
        <v>416</v>
      </c>
      <c r="AN3" s="65" t="s">
        <v>611</v>
      </c>
      <c r="AO3" s="65" t="s">
        <v>608</v>
      </c>
      <c r="AP3" s="65" t="s">
        <v>610</v>
      </c>
      <c r="AQ3" s="65" t="s">
        <v>607</v>
      </c>
      <c r="AR3" s="65" t="s">
        <v>609</v>
      </c>
      <c r="AS3" s="41" t="s">
        <v>431</v>
      </c>
      <c r="AT3" s="41" t="s">
        <v>423</v>
      </c>
      <c r="AU3" s="41" t="s">
        <v>432</v>
      </c>
      <c r="AV3" s="41" t="s">
        <v>424</v>
      </c>
      <c r="AW3" s="54" t="s">
        <v>573</v>
      </c>
      <c r="AX3" s="54" t="s">
        <v>574</v>
      </c>
      <c r="AY3" s="58" t="s">
        <v>575</v>
      </c>
      <c r="AZ3" s="58" t="s">
        <v>576</v>
      </c>
      <c r="BA3" s="122" t="s">
        <v>577</v>
      </c>
    </row>
    <row r="4" spans="1:53" x14ac:dyDescent="0.25">
      <c r="A4" s="38">
        <v>1</v>
      </c>
      <c r="B4" s="139" t="s">
        <v>56</v>
      </c>
      <c r="C4" s="38" t="s">
        <v>138</v>
      </c>
      <c r="D4" s="38" t="s">
        <v>144</v>
      </c>
      <c r="E4" s="48">
        <v>275.25807099999997</v>
      </c>
      <c r="F4" s="102" t="s">
        <v>3</v>
      </c>
      <c r="G4" s="102" t="s">
        <v>3</v>
      </c>
      <c r="H4" s="102" t="s">
        <v>3</v>
      </c>
      <c r="I4" s="103">
        <v>-4.7699999999999999E-4</v>
      </c>
      <c r="J4" s="103">
        <v>-2.23E-4</v>
      </c>
      <c r="K4" s="116" t="s">
        <v>3</v>
      </c>
      <c r="L4" s="97">
        <f>275.25769-E4</f>
        <v>-3.8099999994756217E-4</v>
      </c>
      <c r="M4" s="97">
        <f>275.25839-275.25807</f>
        <v>3.2000000004472895E-4</v>
      </c>
      <c r="N4" s="97">
        <f>275.2583-275.25807</f>
        <v>2.3000000004458343E-4</v>
      </c>
      <c r="O4" s="97">
        <f>275.25809-275.25807</f>
        <v>2.0000000006348273E-5</v>
      </c>
      <c r="P4" s="97">
        <f>275.25839-275.25807</f>
        <v>3.2000000004472895E-4</v>
      </c>
      <c r="Q4" s="97">
        <f>275.2587-E4</f>
        <v>6.2900000000354339E-4</v>
      </c>
      <c r="R4" s="97">
        <f>275.25839-E4</f>
        <v>3.1900000004725371E-4</v>
      </c>
      <c r="S4" s="97" t="s">
        <v>3</v>
      </c>
      <c r="T4" s="97">
        <f>275.2583-E4</f>
        <v>2.2900000004710819E-4</v>
      </c>
      <c r="U4" s="97" t="s">
        <v>3</v>
      </c>
      <c r="V4" s="97" t="s">
        <v>3</v>
      </c>
      <c r="W4" s="101">
        <f>275.25809-E4</f>
        <v>1.900000000887303E-5</v>
      </c>
      <c r="X4" s="101">
        <f>275.25809-E4</f>
        <v>1.900000000887303E-5</v>
      </c>
      <c r="Y4" s="101">
        <f>275.25821-E4</f>
        <v>1.3900000004696267E-4</v>
      </c>
      <c r="Z4" s="98">
        <f>275.25879-E4</f>
        <v>7.1900000000368891E-4</v>
      </c>
      <c r="AA4" s="99" t="s">
        <v>3</v>
      </c>
      <c r="AB4" s="99" t="s">
        <v>3</v>
      </c>
      <c r="AC4" s="100">
        <f>275.2579-E4</f>
        <v>-1.7099999996617044E-4</v>
      </c>
      <c r="AD4" s="100">
        <f>275.25809-E4</f>
        <v>1.900000000887303E-5</v>
      </c>
      <c r="AE4" s="104">
        <f>275.25764-275.2581</f>
        <v>-4.6000000003232344E-4</v>
      </c>
      <c r="AF4" s="104">
        <f>275.25869-E4</f>
        <v>6.1900000002879096E-4</v>
      </c>
      <c r="AG4" s="104">
        <f>275.25751-E4</f>
        <v>-5.6099999994785321E-4</v>
      </c>
      <c r="AH4" s="104">
        <f>275.259-E4</f>
        <v>9.2900000004192407E-4</v>
      </c>
      <c r="AI4" s="105">
        <v>3.3799999999999998E-4</v>
      </c>
      <c r="AJ4" s="105">
        <v>7.1599999999999995E-4</v>
      </c>
      <c r="AK4" s="105">
        <v>5.5999999999999995E-4</v>
      </c>
      <c r="AL4" s="105">
        <v>4.55E-4</v>
      </c>
      <c r="AM4" s="105">
        <v>2.7099999999999997E-4</v>
      </c>
      <c r="AN4" s="106" t="s">
        <v>3</v>
      </c>
      <c r="AO4" s="106" t="s">
        <v>3</v>
      </c>
      <c r="AP4" s="106" t="s">
        <v>3</v>
      </c>
      <c r="AQ4" s="106" t="s">
        <v>3</v>
      </c>
      <c r="AR4" s="106" t="s">
        <v>3</v>
      </c>
      <c r="AS4" s="107">
        <f>275.25681-275.2581</f>
        <v>-1.2900000000399814E-3</v>
      </c>
      <c r="AT4" s="107">
        <f>275.25809-275.2581</f>
        <v>-1.0000000031595846E-5</v>
      </c>
      <c r="AU4" s="107">
        <f>275.258-275.2581</f>
        <v>-1.0000000003174137E-4</v>
      </c>
      <c r="AV4" s="107">
        <f>275.258-275.2581</f>
        <v>-1.0000000003174137E-4</v>
      </c>
      <c r="AW4" s="108" t="s">
        <v>3</v>
      </c>
      <c r="AX4" s="108" t="s">
        <v>3</v>
      </c>
      <c r="AY4" s="109" t="s">
        <v>3</v>
      </c>
      <c r="AZ4" s="109" t="s">
        <v>3</v>
      </c>
      <c r="BA4" s="123" t="s">
        <v>3</v>
      </c>
    </row>
    <row r="5" spans="1:53" ht="15.75" customHeight="1" x14ac:dyDescent="0.25">
      <c r="A5" s="38">
        <v>2</v>
      </c>
      <c r="B5" s="139" t="s">
        <v>57</v>
      </c>
      <c r="C5" s="38" t="s">
        <v>138</v>
      </c>
      <c r="D5" s="38" t="s">
        <v>145</v>
      </c>
      <c r="E5" s="48">
        <v>336.310835</v>
      </c>
      <c r="F5" s="102" t="s">
        <v>3</v>
      </c>
      <c r="G5" s="102" t="s">
        <v>3</v>
      </c>
      <c r="H5" s="102" t="s">
        <v>3</v>
      </c>
      <c r="I5" s="103">
        <v>-5.4699999999999996E-4</v>
      </c>
      <c r="J5" s="103">
        <v>1.27E-4</v>
      </c>
      <c r="K5" s="116" t="s">
        <v>3</v>
      </c>
      <c r="L5" s="97">
        <f>336.31049-E5</f>
        <v>-3.4499999998161002E-4</v>
      </c>
      <c r="M5" s="97">
        <f>336.3111-336.31084</f>
        <v>2.6000000002568413E-4</v>
      </c>
      <c r="N5" s="97">
        <f>336.31091-336.31084</f>
        <v>6.9999999993797246E-5</v>
      </c>
      <c r="O5" s="97">
        <f>336.31091-336.31084</f>
        <v>6.9999999993797246E-5</v>
      </c>
      <c r="P5" s="97">
        <f>336.31091-E5</f>
        <v>7.499999998117346E-5</v>
      </c>
      <c r="Q5" s="97">
        <f>336.31161-E5</f>
        <v>7.7499999997598934E-4</v>
      </c>
      <c r="R5" s="97">
        <f>336.311-E5</f>
        <v>1.6499999998131898E-4</v>
      </c>
      <c r="S5" s="97">
        <f>336.31021-E5</f>
        <v>-6.2500000001364242E-4</v>
      </c>
      <c r="T5" s="97">
        <f>336.311-E5</f>
        <v>1.6499999998131898E-4</v>
      </c>
      <c r="U5" s="97" t="s">
        <v>3</v>
      </c>
      <c r="V5" s="97">
        <f>336.31091-E5</f>
        <v>7.499999998117346E-5</v>
      </c>
      <c r="W5" s="101">
        <f>336.31079-E5</f>
        <v>-4.500000000007276E-5</v>
      </c>
      <c r="X5" s="101">
        <f>336.310651-E5</f>
        <v>-1.8399999999019201E-4</v>
      </c>
      <c r="Y5" s="101">
        <f>336.31091-E5</f>
        <v>7.499999998117346E-5</v>
      </c>
      <c r="Z5" s="98">
        <f>336.31161-E5</f>
        <v>7.7499999997598934E-4</v>
      </c>
      <c r="AA5" s="99" t="s">
        <v>3</v>
      </c>
      <c r="AB5" s="99" t="s">
        <v>3</v>
      </c>
      <c r="AC5" s="100">
        <f>336.31049-E5</f>
        <v>-3.4499999998161002E-4</v>
      </c>
      <c r="AD5" s="100">
        <f>336.3107-E5</f>
        <v>-1.3500000000021828E-4</v>
      </c>
      <c r="AE5" s="104">
        <f>336.31106-E5</f>
        <v>2.250000000003638E-4</v>
      </c>
      <c r="AF5" s="104">
        <f>336.31316-E5</f>
        <v>2.3249999999848114E-3</v>
      </c>
      <c r="AG5" s="104">
        <f>336.31091-E5</f>
        <v>7.499999998117346E-5</v>
      </c>
      <c r="AH5" s="104">
        <f>336.31237-E5</f>
        <v>1.53499999998985E-3</v>
      </c>
      <c r="AI5" s="105">
        <v>7.9799999999999999E-4</v>
      </c>
      <c r="AJ5" s="105">
        <v>2.617E-3</v>
      </c>
      <c r="AK5" s="105">
        <v>1.291E-3</v>
      </c>
      <c r="AL5" s="105">
        <v>4.6169999999999996E-3</v>
      </c>
      <c r="AM5" s="105">
        <v>5.8500000000000002E-4</v>
      </c>
      <c r="AN5" s="106" t="s">
        <v>3</v>
      </c>
      <c r="AO5" s="106" t="s">
        <v>3</v>
      </c>
      <c r="AP5" s="106" t="s">
        <v>3</v>
      </c>
      <c r="AQ5" s="106" t="s">
        <v>3</v>
      </c>
      <c r="AR5" s="106" t="s">
        <v>3</v>
      </c>
      <c r="AS5" s="107">
        <f>336.31201-336.3108</f>
        <v>1.2100000000145883E-3</v>
      </c>
      <c r="AT5" s="107">
        <f>336.30829-336.3108</f>
        <v>-2.5099999999724787E-3</v>
      </c>
      <c r="AU5" s="107">
        <f>336.31241-336.3108</f>
        <v>1.6100000000278669E-3</v>
      </c>
      <c r="AV5" s="107">
        <f>336.3125-336.3108</f>
        <v>1.7000000000280124E-3</v>
      </c>
      <c r="AW5" s="108" t="s">
        <v>3</v>
      </c>
      <c r="AX5" s="108" t="s">
        <v>3</v>
      </c>
      <c r="AY5" s="109" t="s">
        <v>3</v>
      </c>
      <c r="AZ5" s="109" t="s">
        <v>3</v>
      </c>
      <c r="BA5" s="123" t="s">
        <v>3</v>
      </c>
    </row>
    <row r="6" spans="1:53" x14ac:dyDescent="0.25">
      <c r="A6" s="38">
        <v>3</v>
      </c>
      <c r="B6" s="139" t="s">
        <v>58</v>
      </c>
      <c r="C6" s="38" t="s">
        <v>138</v>
      </c>
      <c r="D6" s="38" t="s">
        <v>146</v>
      </c>
      <c r="E6" s="48">
        <v>380.33704999999998</v>
      </c>
      <c r="F6" s="102" t="s">
        <v>3</v>
      </c>
      <c r="G6" s="102" t="s">
        <v>3</v>
      </c>
      <c r="H6" s="102" t="s">
        <v>3</v>
      </c>
      <c r="I6" s="103">
        <v>2.372E-3</v>
      </c>
      <c r="J6" s="103">
        <v>1.802E-3</v>
      </c>
      <c r="K6" s="116" t="s">
        <v>3</v>
      </c>
      <c r="L6" s="97">
        <f>380.33661-E6</f>
        <v>-4.3999999996913175E-4</v>
      </c>
      <c r="M6" s="97">
        <f>380.33719-380.33705</f>
        <v>1.4000000004443791E-4</v>
      </c>
      <c r="N6" s="97">
        <f>380.33691-380.33705</f>
        <v>-1.3999999998759449E-4</v>
      </c>
      <c r="O6" s="97">
        <f>380.3371-380.33705</f>
        <v>5.0000000044292392E-5</v>
      </c>
      <c r="P6" s="97">
        <f>380.33731-380.33705</f>
        <v>2.6000000002568413E-4</v>
      </c>
      <c r="Q6" s="97">
        <f>380.33771-E6</f>
        <v>6.6000000003896275E-4</v>
      </c>
      <c r="R6" s="97">
        <f>380.33719-E6</f>
        <v>1.4000000004443791E-4</v>
      </c>
      <c r="S6" s="97">
        <f>380.3364-E6</f>
        <v>-6.4999999995052349E-4</v>
      </c>
      <c r="T6" s="97">
        <f>380.33719-E6</f>
        <v>1.4000000004443791E-4</v>
      </c>
      <c r="U6" s="97" t="s">
        <v>3</v>
      </c>
      <c r="V6" s="97">
        <f>380.33701-E6</f>
        <v>-3.9999999955853127E-5</v>
      </c>
      <c r="W6" s="101">
        <f>380.3371-E6</f>
        <v>5.0000000044292392E-5</v>
      </c>
      <c r="X6" s="101">
        <f>380.3371-E6</f>
        <v>5.0000000044292392E-5</v>
      </c>
      <c r="Y6" s="101">
        <f>380.33719-E6</f>
        <v>1.4000000004443791E-4</v>
      </c>
      <c r="Z6" s="98">
        <f>380.3381-E6</f>
        <v>1.0500000000206455E-3</v>
      </c>
      <c r="AA6" s="99" t="s">
        <v>3</v>
      </c>
      <c r="AB6" s="99" t="s">
        <v>3</v>
      </c>
      <c r="AC6" s="100">
        <f>380.33691-E6</f>
        <v>-1.3999999998759449E-4</v>
      </c>
      <c r="AD6" s="100" t="s">
        <v>3</v>
      </c>
      <c r="AE6" s="104">
        <f>380.33736-E6</f>
        <v>3.100000000131331E-4</v>
      </c>
      <c r="AF6" s="104">
        <f>380.33814-E6</f>
        <v>1.0900000000333421E-3</v>
      </c>
      <c r="AG6" s="104">
        <f>380.33671-E6</f>
        <v>-3.399999999942338E-4</v>
      </c>
      <c r="AH6" s="104">
        <f>380.33836-E6</f>
        <v>1.3100000000463297E-3</v>
      </c>
      <c r="AI6" s="105">
        <v>9.5100000000000002E-4</v>
      </c>
      <c r="AJ6" s="105">
        <v>2.617E-3</v>
      </c>
      <c r="AK6" s="105">
        <v>2.5999999999999998E-4</v>
      </c>
      <c r="AL6" s="105">
        <v>4.26E-4</v>
      </c>
      <c r="AM6" s="105">
        <v>6.8599999999999998E-4</v>
      </c>
      <c r="AN6" s="106" t="s">
        <v>3</v>
      </c>
      <c r="AO6" s="106" t="s">
        <v>3</v>
      </c>
      <c r="AP6" s="106" t="s">
        <v>3</v>
      </c>
      <c r="AQ6" s="106" t="s">
        <v>3</v>
      </c>
      <c r="AR6" s="106" t="s">
        <v>3</v>
      </c>
      <c r="AS6" s="107">
        <f>380.33871-380.3371</f>
        <v>1.6099999999710235E-3</v>
      </c>
      <c r="AT6" s="107">
        <f>380.33511-380.3371</f>
        <v>-1.9900000000347973E-3</v>
      </c>
      <c r="AU6" s="107">
        <f>380.33661-380.3371</f>
        <v>-4.9000000001342414E-4</v>
      </c>
      <c r="AV6" s="107">
        <v>0</v>
      </c>
      <c r="AW6" s="108" t="s">
        <v>3</v>
      </c>
      <c r="AX6" s="108" t="s">
        <v>3</v>
      </c>
      <c r="AY6" s="109">
        <v>-6.9999999993797246E-5</v>
      </c>
      <c r="AZ6" s="109" t="s">
        <v>3</v>
      </c>
      <c r="BA6" s="123" t="s">
        <v>3</v>
      </c>
    </row>
    <row r="7" spans="1:53" s="31" customFormat="1" x14ac:dyDescent="0.25">
      <c r="A7" s="38">
        <v>4</v>
      </c>
      <c r="B7" s="139" t="s">
        <v>59</v>
      </c>
      <c r="C7" s="38" t="s">
        <v>138</v>
      </c>
      <c r="D7" s="38" t="s">
        <v>147</v>
      </c>
      <c r="E7" s="48">
        <v>424.36326500000001</v>
      </c>
      <c r="F7" s="102">
        <f>(424.36292-E7)</f>
        <v>-3.4500000003845344E-4</v>
      </c>
      <c r="G7" s="102">
        <f>(424.36292-E7)</f>
        <v>-3.4500000003845344E-4</v>
      </c>
      <c r="H7" s="102">
        <f>(424.3624-E7)</f>
        <v>-8.6500000003297828E-4</v>
      </c>
      <c r="I7" s="103">
        <v>-1.1050000000000001E-3</v>
      </c>
      <c r="J7" s="103">
        <v>-3.8699999999999997E-4</v>
      </c>
      <c r="K7" s="116" t="s">
        <v>3</v>
      </c>
      <c r="L7" s="97">
        <f>424.36261-E7</f>
        <v>-6.5499999999474312E-4</v>
      </c>
      <c r="M7" s="97">
        <f>424.3634-424.36327</f>
        <v>1.3000000001284207E-4</v>
      </c>
      <c r="N7" s="97">
        <f>424.36301-424.36327</f>
        <v>-2.6000000002568413E-4</v>
      </c>
      <c r="O7" s="97">
        <f>424.3631-424.36327</f>
        <v>-1.7000000002553861E-4</v>
      </c>
      <c r="P7" s="97">
        <f>424.3634-E7</f>
        <v>1.3500000000021828E-4</v>
      </c>
      <c r="Q7" s="97">
        <f>424.36401-E7</f>
        <v>7.4499999999488864E-4</v>
      </c>
      <c r="R7" s="97">
        <f>424.3634-E7</f>
        <v>1.3500000000021828E-4</v>
      </c>
      <c r="S7" s="97">
        <f>424.3624-E7</f>
        <v>-8.6500000003297828E-4</v>
      </c>
      <c r="T7" s="97">
        <f>424.3634-E7</f>
        <v>1.3500000000021828E-4</v>
      </c>
      <c r="U7" s="97" t="s">
        <v>3</v>
      </c>
      <c r="V7" s="97">
        <f>424.36319-E7</f>
        <v>-7.5000000038016879E-5</v>
      </c>
      <c r="W7" s="101">
        <f>424.36331-E7</f>
        <v>4.500000000007276E-5</v>
      </c>
      <c r="X7" s="101">
        <f>424.36319-E7</f>
        <v>-7.5000000038016879E-5</v>
      </c>
      <c r="Y7" s="101">
        <f>424.36349-E7</f>
        <v>2.250000000003638E-4</v>
      </c>
      <c r="Z7" s="98">
        <f>424.36429-E7</f>
        <v>1.0249999999700776E-3</v>
      </c>
      <c r="AA7" s="99" t="s">
        <v>3</v>
      </c>
      <c r="AB7" s="99" t="s">
        <v>3</v>
      </c>
      <c r="AC7" s="100">
        <f>424.36301-E7</f>
        <v>-2.5500000003830792E-4</v>
      </c>
      <c r="AD7" s="100" t="s">
        <v>3</v>
      </c>
      <c r="AE7" s="104">
        <f>424.36401-E7</f>
        <v>7.4499999999488864E-4</v>
      </c>
      <c r="AF7" s="104">
        <f>424.36426-E7</f>
        <v>9.9499999998897692E-4</v>
      </c>
      <c r="AG7" s="104">
        <f>424.3628-E7</f>
        <v>-4.6500000001969966E-4</v>
      </c>
      <c r="AH7" s="104">
        <f>424.36484-E7</f>
        <v>1.5750000000025466E-3</v>
      </c>
      <c r="AI7" s="105">
        <v>1.206E-3</v>
      </c>
      <c r="AJ7" s="105">
        <v>6.9399999999999996E-4</v>
      </c>
      <c r="AK7" s="105">
        <v>6.02E-4</v>
      </c>
      <c r="AL7" s="105">
        <v>5.1599999999999997E-4</v>
      </c>
      <c r="AM7" s="105">
        <v>1.1E-4</v>
      </c>
      <c r="AN7" s="106" t="s">
        <v>3</v>
      </c>
      <c r="AO7" s="106" t="s">
        <v>3</v>
      </c>
      <c r="AP7" s="106" t="s">
        <v>3</v>
      </c>
      <c r="AQ7" s="106" t="s">
        <v>3</v>
      </c>
      <c r="AR7" s="106" t="s">
        <v>3</v>
      </c>
      <c r="AS7" s="107">
        <f>424.36292-424.3633</f>
        <v>-3.8000000000693035E-4</v>
      </c>
      <c r="AT7" s="107">
        <f>424.3616-424.3633</f>
        <v>-1.699999999971169E-3</v>
      </c>
      <c r="AU7" s="107">
        <f>424.36301-424.3633</f>
        <v>-2.9000000000678483E-4</v>
      </c>
      <c r="AV7" s="107">
        <f>424.3649-424.3633</f>
        <v>1.5999999999962711E-3</v>
      </c>
      <c r="AW7" s="108" t="s">
        <v>3</v>
      </c>
      <c r="AX7" s="108" t="s">
        <v>3</v>
      </c>
      <c r="AY7" s="109">
        <v>-4.1500000003225068E-4</v>
      </c>
      <c r="AZ7" s="109" t="s">
        <v>3</v>
      </c>
      <c r="BA7" s="123" t="s">
        <v>3</v>
      </c>
    </row>
    <row r="8" spans="1:53" x14ac:dyDescent="0.25">
      <c r="A8" s="38">
        <v>5</v>
      </c>
      <c r="B8" s="139" t="s">
        <v>60</v>
      </c>
      <c r="C8" s="38" t="s">
        <v>138</v>
      </c>
      <c r="D8" s="38" t="s">
        <v>148</v>
      </c>
      <c r="E8" s="48">
        <v>468.38947899999999</v>
      </c>
      <c r="F8" s="102">
        <f>(468.38708-E8)</f>
        <v>-2.3989999999685097E-3</v>
      </c>
      <c r="G8" s="102">
        <f>(468.38721-E8)</f>
        <v>-2.269000000012511E-3</v>
      </c>
      <c r="H8" s="102">
        <f>(468.38721-E8)</f>
        <v>-2.269000000012511E-3</v>
      </c>
      <c r="I8" s="103">
        <v>-2.6699999999999998E-4</v>
      </c>
      <c r="J8" s="103">
        <v>-7.85E-4</v>
      </c>
      <c r="K8" s="116" t="s">
        <v>3</v>
      </c>
      <c r="L8" s="97">
        <f>468.38849-E8</f>
        <v>-9.8900000000412547E-4</v>
      </c>
      <c r="M8" s="97">
        <f>468.3894-468.38948</f>
        <v>-7.9999999968549673E-5</v>
      </c>
      <c r="N8" s="97">
        <f>468.38889-468.38948</f>
        <v>-5.8999999998832209E-4</v>
      </c>
      <c r="O8" s="97">
        <f>468.3891-468.38948</f>
        <v>-3.8000000000693035E-4</v>
      </c>
      <c r="P8" s="97">
        <f>468.38919-E8</f>
        <v>-2.8900000000930959E-4</v>
      </c>
      <c r="Q8" s="97">
        <f>468.39001-E8</f>
        <v>5.3100000002359593E-4</v>
      </c>
      <c r="R8" s="97">
        <f>468.38931-E8</f>
        <v>-1.6899999997121995E-4</v>
      </c>
      <c r="S8" s="97">
        <f>468.38821-E8</f>
        <v>-1.2689999999793145E-3</v>
      </c>
      <c r="T8" s="97">
        <f>468.38931-E8</f>
        <v>-1.6899999997121995E-4</v>
      </c>
      <c r="U8" s="97" t="s">
        <v>3</v>
      </c>
      <c r="V8" s="97">
        <f>468.3891-E8</f>
        <v>-3.7900000000945511E-4</v>
      </c>
      <c r="W8" s="101">
        <f>468.38959-E8</f>
        <v>1.1100000000396903E-4</v>
      </c>
      <c r="X8" s="101">
        <f>468.3894-E8</f>
        <v>-7.8999999971074431E-5</v>
      </c>
      <c r="Y8" s="101">
        <f>468.3894-E8</f>
        <v>-7.8999999971074431E-5</v>
      </c>
      <c r="Z8" s="98">
        <f>468.39081-E8</f>
        <v>1.3309999999933098E-3</v>
      </c>
      <c r="AA8" s="99" t="s">
        <v>3</v>
      </c>
      <c r="AB8" s="99" t="s">
        <v>3</v>
      </c>
      <c r="AC8" s="100">
        <f>468.38901-E8</f>
        <v>-4.6900000000960063E-4</v>
      </c>
      <c r="AD8" s="100" t="s">
        <v>3</v>
      </c>
      <c r="AE8" s="104">
        <f>468.39017-E8</f>
        <v>6.910000000175387E-4</v>
      </c>
      <c r="AF8" s="104">
        <f>468.39119-E8</f>
        <v>1.7110000000002401E-3</v>
      </c>
      <c r="AG8" s="104">
        <f>468.38917-E8</f>
        <v>-3.0900000001565786E-4</v>
      </c>
      <c r="AH8" s="104">
        <f>468.39052-E8</f>
        <v>1.0409999999865249E-3</v>
      </c>
      <c r="AI8" s="105">
        <v>1.3990000000000001E-3</v>
      </c>
      <c r="AJ8" s="105">
        <v>-6.0300000000000002E-4</v>
      </c>
      <c r="AK8" s="105">
        <v>6.0099999999999997E-4</v>
      </c>
      <c r="AL8" s="105">
        <v>3.86E-4</v>
      </c>
      <c r="AM8" s="105">
        <v>3.5199999999999999E-4</v>
      </c>
      <c r="AN8" s="106" t="s">
        <v>3</v>
      </c>
      <c r="AO8" s="106" t="s">
        <v>3</v>
      </c>
      <c r="AP8" s="106" t="s">
        <v>3</v>
      </c>
      <c r="AQ8" s="106" t="s">
        <v>3</v>
      </c>
      <c r="AR8" s="106" t="s">
        <v>3</v>
      </c>
      <c r="AS8" s="107">
        <f>468.38901-468.3895</f>
        <v>-4.9000000001342414E-4</v>
      </c>
      <c r="AT8" s="107">
        <f>468.38739-468.3895</f>
        <v>-2.1100000000160435E-3</v>
      </c>
      <c r="AU8" s="107">
        <f>468.3877-468.3895</f>
        <v>-1.8000000000029104E-3</v>
      </c>
      <c r="AV8" s="107">
        <f>468.3905-468.3895</f>
        <v>9.9999999997635314E-4</v>
      </c>
      <c r="AW8" s="108" t="s">
        <v>3</v>
      </c>
      <c r="AX8" s="108" t="s">
        <v>3</v>
      </c>
      <c r="AY8" s="109" t="s">
        <v>3</v>
      </c>
      <c r="AZ8" s="109" t="s">
        <v>3</v>
      </c>
      <c r="BA8" s="123" t="s">
        <v>3</v>
      </c>
    </row>
    <row r="9" spans="1:53" x14ac:dyDescent="0.25">
      <c r="A9" s="38">
        <v>6</v>
      </c>
      <c r="B9" s="139" t="s">
        <v>61</v>
      </c>
      <c r="C9" s="38" t="s">
        <v>138</v>
      </c>
      <c r="D9" s="38" t="s">
        <v>149</v>
      </c>
      <c r="E9" s="48">
        <v>512.41569400000003</v>
      </c>
      <c r="F9" s="102">
        <f>(512.41418-E9)</f>
        <v>-1.5140000000428699E-3</v>
      </c>
      <c r="G9" s="102">
        <f>(512.41412-E9)</f>
        <v>-1.5740000000050713E-3</v>
      </c>
      <c r="H9" s="102">
        <f>(512.41418-E9)</f>
        <v>-1.5140000000428699E-3</v>
      </c>
      <c r="I9" s="103">
        <v>8.7900000000000001E-4</v>
      </c>
      <c r="J9" s="103">
        <v>3.28E-4</v>
      </c>
      <c r="K9" s="116" t="s">
        <v>3</v>
      </c>
      <c r="L9" s="97">
        <f>512.41449-E9</f>
        <v>-1.2040000000297368E-3</v>
      </c>
      <c r="M9" s="97">
        <f>512.41553-512.41569</f>
        <v>-1.6000000005078618E-4</v>
      </c>
      <c r="N9" s="97">
        <f>468.38889-468.38948</f>
        <v>-5.8999999998832209E-4</v>
      </c>
      <c r="O9" s="97">
        <f>512.41522-512.41569</f>
        <v>-4.7000000006391929E-4</v>
      </c>
      <c r="P9" s="97">
        <f>512.41541-E9</f>
        <v>-2.8400000007877679E-4</v>
      </c>
      <c r="Q9" s="97">
        <f>512.41602-E9</f>
        <v>3.2599999997273699E-4</v>
      </c>
      <c r="R9" s="97">
        <f>512.41541-E9</f>
        <v>-2.8400000007877679E-4</v>
      </c>
      <c r="S9" s="97">
        <f>512.41412-E9</f>
        <v>-1.5740000000050713E-3</v>
      </c>
      <c r="T9" s="97">
        <f>512.41528-E9</f>
        <v>-4.1399999997793202E-4</v>
      </c>
      <c r="U9" s="97" t="s">
        <v>3</v>
      </c>
      <c r="V9" s="97">
        <f>512.41522-E9</f>
        <v>-4.7400000005382026E-4</v>
      </c>
      <c r="W9" s="101">
        <f>512.41577-E9</f>
        <v>7.5999999921805284E-5</v>
      </c>
      <c r="X9" s="101">
        <f>512.41571-E9</f>
        <v>1.5999999959603883E-5</v>
      </c>
      <c r="Y9" s="101">
        <f>512.4162-E9</f>
        <v>5.0599999997302803E-4</v>
      </c>
      <c r="Z9" s="98">
        <f>512.41638-E9</f>
        <v>6.8599999997331906E-4</v>
      </c>
      <c r="AA9" s="99" t="s">
        <v>3</v>
      </c>
      <c r="AB9" s="99" t="s">
        <v>3</v>
      </c>
      <c r="AC9" s="100">
        <f>512.41522-E9</f>
        <v>-4.7400000005382026E-4</v>
      </c>
      <c r="AD9" s="100" t="s">
        <v>3</v>
      </c>
      <c r="AE9" s="104">
        <f>512.4162-E9</f>
        <v>5.0599999997302803E-4</v>
      </c>
      <c r="AF9" s="104">
        <f>512.41694-E9</f>
        <v>1.245999999923697E-3</v>
      </c>
      <c r="AG9" s="104">
        <f>512.41445-E9</f>
        <v>-1.2440000000424334E-3</v>
      </c>
      <c r="AH9" s="104">
        <f>512.41702-E9</f>
        <v>1.3259999999490901E-3</v>
      </c>
      <c r="AI9" s="105">
        <v>1.4829999999999999E-3</v>
      </c>
      <c r="AJ9" s="105">
        <v>9.1799999999999998E-4</v>
      </c>
      <c r="AK9" s="105">
        <v>8.5099999999999998E-4</v>
      </c>
      <c r="AL9" s="105">
        <v>2.9799999999999998E-4</v>
      </c>
      <c r="AM9" s="105">
        <v>2.7599999999999999E-4</v>
      </c>
      <c r="AN9" s="106" t="s">
        <v>3</v>
      </c>
      <c r="AO9" s="106" t="s">
        <v>3</v>
      </c>
      <c r="AP9" s="106" t="s">
        <v>3</v>
      </c>
      <c r="AQ9" s="106" t="s">
        <v>3</v>
      </c>
      <c r="AR9" s="106" t="s">
        <v>3</v>
      </c>
      <c r="AS9" s="107">
        <f>512.41541-512.4157</f>
        <v>-2.9000000006362825E-4</v>
      </c>
      <c r="AT9" s="107">
        <f>512.41248-512.4157</f>
        <v>-3.2200000000557338E-3</v>
      </c>
      <c r="AU9" s="107">
        <f>512.41748-512.41571</f>
        <v>1.7699999999649663E-3</v>
      </c>
      <c r="AV9" s="107">
        <f>512.41638-512.4157</f>
        <v>6.7999999998846761E-4</v>
      </c>
      <c r="AW9" s="108" t="s">
        <v>3</v>
      </c>
      <c r="AX9" s="108" t="s">
        <v>3</v>
      </c>
      <c r="AY9" s="109" t="s">
        <v>3</v>
      </c>
      <c r="AZ9" s="109" t="s">
        <v>3</v>
      </c>
      <c r="BA9" s="123" t="s">
        <v>3</v>
      </c>
    </row>
    <row r="10" spans="1:53" x14ac:dyDescent="0.25">
      <c r="A10" s="38">
        <v>7</v>
      </c>
      <c r="B10" s="139" t="s">
        <v>62</v>
      </c>
      <c r="C10" s="38" t="s">
        <v>138</v>
      </c>
      <c r="D10" s="38" t="s">
        <v>150</v>
      </c>
      <c r="E10" s="48">
        <v>556.44190900000001</v>
      </c>
      <c r="F10" s="102">
        <f>(556.44208-E10)</f>
        <v>1.7100000002301385E-4</v>
      </c>
      <c r="G10" s="102">
        <f>(556.4419-E10)</f>
        <v>-8.9999999772771844E-6</v>
      </c>
      <c r="H10" s="102">
        <f>(556.4422-E10)</f>
        <v>2.9099999994741665E-4</v>
      </c>
      <c r="I10" s="103">
        <v>-4.6799999999999999E-4</v>
      </c>
      <c r="J10" s="103">
        <v>4.15E-4</v>
      </c>
      <c r="K10" s="116" t="s">
        <v>3</v>
      </c>
      <c r="L10" s="97">
        <f>556.44061-E10</f>
        <v>-1.2990000000172586E-3</v>
      </c>
      <c r="M10" s="97">
        <f>556.44141-556.44191</f>
        <v>-4.9999999998817657E-4</v>
      </c>
      <c r="N10" s="97">
        <f>512.41492-512.41569</f>
        <v>-7.6999999998861313E-4</v>
      </c>
      <c r="O10" s="97">
        <f>556.44122-556.44191</f>
        <v>-6.8999999996322003E-4</v>
      </c>
      <c r="P10" s="97">
        <f>556.44159-E10</f>
        <v>-3.1899999999041029E-4</v>
      </c>
      <c r="Q10" s="97">
        <f>556.44232-E10</f>
        <v>4.1099999998550629E-4</v>
      </c>
      <c r="R10" s="97">
        <f>556.44153-E10</f>
        <v>-3.7900000006629853E-4</v>
      </c>
      <c r="S10" s="97">
        <f>556.44019-E10</f>
        <v>-1.718999999980042E-3</v>
      </c>
      <c r="T10" s="97">
        <f>556.44141-E10</f>
        <v>-4.9899999999070133E-4</v>
      </c>
      <c r="U10" s="97" t="s">
        <v>3</v>
      </c>
      <c r="V10" s="97">
        <f>556.44128-E10</f>
        <v>-6.2900000000354339E-4</v>
      </c>
      <c r="W10" s="101">
        <f>556.44189-E10</f>
        <v>-1.9000000065716449E-5</v>
      </c>
      <c r="X10" s="101">
        <f>556.44177-E10</f>
        <v>-1.3899999999011925E-4</v>
      </c>
      <c r="Y10" s="101">
        <f>556.44287-E10</f>
        <v>9.6099999996113183E-4</v>
      </c>
      <c r="Z10" s="98">
        <f>556.44238-E10</f>
        <v>4.7099999994770769E-4</v>
      </c>
      <c r="AA10" s="99" t="s">
        <v>3</v>
      </c>
      <c r="AB10" s="99" t="s">
        <v>3</v>
      </c>
      <c r="AC10" s="100">
        <f>556.44141-E10</f>
        <v>-4.9899999999070133E-4</v>
      </c>
      <c r="AD10" s="100" t="s">
        <v>3</v>
      </c>
      <c r="AE10" s="104">
        <f>556.44249-E10</f>
        <v>5.810000000110449E-4</v>
      </c>
      <c r="AF10" s="104">
        <f>556.44244-E10</f>
        <v>5.3100000002359593E-4</v>
      </c>
      <c r="AG10" s="104">
        <f>556.44159-E10</f>
        <v>-3.1899999999041029E-4</v>
      </c>
      <c r="AH10" s="104">
        <f>556.44325-E10</f>
        <v>1.3410000000249056E-3</v>
      </c>
      <c r="AI10" s="105">
        <v>2.0669999999999998E-3</v>
      </c>
      <c r="AJ10" s="105">
        <v>8.7000000000000001E-5</v>
      </c>
      <c r="AK10" s="105">
        <v>1.289E-3</v>
      </c>
      <c r="AL10" s="105">
        <v>6.3000000000000003E-4</v>
      </c>
      <c r="AM10" s="105">
        <v>1.0920000000000001E-3</v>
      </c>
      <c r="AN10" s="106" t="s">
        <v>3</v>
      </c>
      <c r="AO10" s="106" t="s">
        <v>3</v>
      </c>
      <c r="AP10" s="106" t="s">
        <v>3</v>
      </c>
      <c r="AQ10" s="106" t="s">
        <v>3</v>
      </c>
      <c r="AR10" s="106" t="s">
        <v>3</v>
      </c>
      <c r="AS10" s="107">
        <f>556.44427-556.4419</f>
        <v>2.3699999999280408E-3</v>
      </c>
      <c r="AT10" s="107">
        <f>556.43988-556.4419</f>
        <v>-2.020000000015898E-3</v>
      </c>
      <c r="AU10" s="107">
        <f>556.44012-556.4419</f>
        <v>-1.7800000000534055E-3</v>
      </c>
      <c r="AV10" s="107">
        <f>556.43988-556.4419</f>
        <v>-2.020000000015898E-3</v>
      </c>
      <c r="AW10" s="108" t="s">
        <v>3</v>
      </c>
      <c r="AX10" s="108" t="s">
        <v>3</v>
      </c>
      <c r="AY10" s="109" t="s">
        <v>3</v>
      </c>
      <c r="AZ10" s="109" t="s">
        <v>3</v>
      </c>
      <c r="BA10" s="123" t="s">
        <v>3</v>
      </c>
    </row>
    <row r="11" spans="1:53" x14ac:dyDescent="0.25">
      <c r="A11" s="38">
        <v>8</v>
      </c>
      <c r="B11" s="139" t="s">
        <v>63</v>
      </c>
      <c r="C11" s="38" t="s">
        <v>138</v>
      </c>
      <c r="D11" s="38" t="s">
        <v>151</v>
      </c>
      <c r="E11" s="48">
        <v>600.46812399999999</v>
      </c>
      <c r="F11" s="102">
        <f>(600.4693-E11)</f>
        <v>1.1759999999867432E-3</v>
      </c>
      <c r="G11" s="102">
        <f>(600.46918-E11)</f>
        <v>1.0560000000623404E-3</v>
      </c>
      <c r="H11" s="102">
        <f>(600.4693-E11)</f>
        <v>1.1759999999867432E-3</v>
      </c>
      <c r="I11" s="103" t="s">
        <v>3</v>
      </c>
      <c r="J11" s="103" t="s">
        <v>3</v>
      </c>
      <c r="K11" s="116" t="s">
        <v>3</v>
      </c>
      <c r="L11" s="97">
        <f>600.46692-E11</f>
        <v>-1.2040000000297368E-3</v>
      </c>
      <c r="M11" s="97">
        <f>600.46759-600.46812</f>
        <v>-5.3000000002612069E-4</v>
      </c>
      <c r="N11" s="97">
        <f>512.41492-512.41569</f>
        <v>-7.6999999998861313E-4</v>
      </c>
      <c r="O11" s="97">
        <f>600.46722-600.46812</f>
        <v>-9.0000000000145519E-4</v>
      </c>
      <c r="P11" s="97">
        <f>600.46753-E11</f>
        <v>-5.9399999997822306E-4</v>
      </c>
      <c r="Q11" s="97">
        <f>600.46808-E11</f>
        <v>-4.4000000002597517E-5</v>
      </c>
      <c r="R11" s="97">
        <f>600.46771-E11</f>
        <v>-4.1399999997793202E-4</v>
      </c>
      <c r="S11" s="97">
        <f>600.46631-E11</f>
        <v>-1.8139999999675638E-3</v>
      </c>
      <c r="T11" s="97">
        <f>600.46759-E11</f>
        <v>-5.3400000001602166E-4</v>
      </c>
      <c r="U11" s="97" t="s">
        <v>3</v>
      </c>
      <c r="V11" s="97">
        <f>600.46729-E11</f>
        <v>-8.339999999407155E-4</v>
      </c>
      <c r="W11" s="101">
        <f>600.46832-E11</f>
        <v>1.9599999995989492E-4</v>
      </c>
      <c r="X11" s="101">
        <f>600.46808-E11</f>
        <v>-4.4000000002597517E-5</v>
      </c>
      <c r="Y11" s="101">
        <f>600.46808-E11</f>
        <v>-4.4000000002597517E-5</v>
      </c>
      <c r="Z11" s="98">
        <f>600.46881-E11</f>
        <v>6.8599999997331906E-4</v>
      </c>
      <c r="AA11" s="99" t="s">
        <v>3</v>
      </c>
      <c r="AB11" s="99" t="s">
        <v>3</v>
      </c>
      <c r="AC11" s="100">
        <f>600.46753-E11</f>
        <v>-5.9399999997822306E-4</v>
      </c>
      <c r="AD11" s="100" t="s">
        <v>3</v>
      </c>
      <c r="AE11" s="104">
        <f>600.4688-E11</f>
        <v>6.7599999999856664E-4</v>
      </c>
      <c r="AF11" s="104">
        <f>600.46801-E11</f>
        <v>-1.1399999993955134E-4</v>
      </c>
      <c r="AG11" s="104">
        <f>600.46635-E11</f>
        <v>-1.7739999999548672E-3</v>
      </c>
      <c r="AH11" s="104">
        <f>600.47027-E11</f>
        <v>2.1460000000388391E-3</v>
      </c>
      <c r="AI11" s="105">
        <v>2.0309999999999998E-3</v>
      </c>
      <c r="AJ11" s="105">
        <v>-4.46E-4</v>
      </c>
      <c r="AK11" s="105">
        <v>1.114E-3</v>
      </c>
      <c r="AL11" s="105">
        <v>8.1400000000000005E-4</v>
      </c>
      <c r="AM11" s="105">
        <v>7.1500000000000003E-4</v>
      </c>
      <c r="AN11" s="106" t="s">
        <v>3</v>
      </c>
      <c r="AO11" s="106" t="s">
        <v>3</v>
      </c>
      <c r="AP11" s="106" t="s">
        <v>3</v>
      </c>
      <c r="AQ11" s="106" t="s">
        <v>3</v>
      </c>
      <c r="AR11" s="106" t="s">
        <v>3</v>
      </c>
      <c r="AS11" s="107">
        <f>600.46729-600.4681</f>
        <v>-8.1000000000130967E-4</v>
      </c>
      <c r="AT11" s="107">
        <f>600.46692-600.4681</f>
        <v>-1.180000000090331E-3</v>
      </c>
      <c r="AU11" s="107">
        <f>600.46667-600.4681</f>
        <v>-1.4300000000275759E-3</v>
      </c>
      <c r="AV11" s="107">
        <f>600.47162-600.4681</f>
        <v>3.5199999999804277E-3</v>
      </c>
      <c r="AW11" s="108" t="s">
        <v>3</v>
      </c>
      <c r="AX11" s="108" t="s">
        <v>3</v>
      </c>
      <c r="AY11" s="109" t="s">
        <v>3</v>
      </c>
      <c r="AZ11" s="109" t="s">
        <v>3</v>
      </c>
      <c r="BA11" s="123" t="s">
        <v>3</v>
      </c>
    </row>
    <row r="12" spans="1:53" x14ac:dyDescent="0.25">
      <c r="A12" s="38">
        <v>9</v>
      </c>
      <c r="B12" s="139" t="s">
        <v>64</v>
      </c>
      <c r="C12" s="38" t="s">
        <v>138</v>
      </c>
      <c r="D12" s="38" t="s">
        <v>152</v>
      </c>
      <c r="E12" s="48">
        <v>644.49433799999997</v>
      </c>
      <c r="F12" s="102">
        <f>(644.49463-E12)</f>
        <v>2.9200000005857873E-4</v>
      </c>
      <c r="G12" s="102">
        <f>(644.49438-E12)</f>
        <v>4.2000000007647031E-5</v>
      </c>
      <c r="H12" s="102">
        <f>(644.49463-E12)</f>
        <v>2.9200000005857873E-4</v>
      </c>
      <c r="I12" s="103" t="s">
        <v>3</v>
      </c>
      <c r="J12" s="103" t="s">
        <v>3</v>
      </c>
      <c r="K12" s="116" t="s">
        <v>3</v>
      </c>
      <c r="L12" s="97">
        <f>644.49292-E12</f>
        <v>-1.4179999999441861E-3</v>
      </c>
      <c r="M12" s="97">
        <f>644.49371-644.49434</f>
        <v>-6.3000000000101863E-4</v>
      </c>
      <c r="N12" s="97">
        <f>556.44098-556.44191</f>
        <v>-9.3000000003939931E-4</v>
      </c>
      <c r="O12" s="97">
        <f>644.49329-644.49434</f>
        <v>-1.0499999999638021E-3</v>
      </c>
      <c r="P12" s="97">
        <f>644.49371-E12</f>
        <v>-6.2800000000606815E-4</v>
      </c>
      <c r="Q12" s="97">
        <f>644.49463-E12</f>
        <v>2.9200000005857873E-4</v>
      </c>
      <c r="R12" s="97">
        <f>644.49377-E12</f>
        <v>-5.6799999993017991E-4</v>
      </c>
      <c r="S12" s="97">
        <f>644.49231-E12</f>
        <v>-2.0279999999956999E-3</v>
      </c>
      <c r="T12" s="97">
        <f>644.49377-E12</f>
        <v>-5.6799999993017991E-4</v>
      </c>
      <c r="U12" s="97" t="s">
        <v>3</v>
      </c>
      <c r="V12" s="97">
        <f>644.49298-E12</f>
        <v>-1.3579999999819847E-3</v>
      </c>
      <c r="W12" s="101">
        <f>644.49438-E12</f>
        <v>4.2000000007647031E-5</v>
      </c>
      <c r="X12" s="101">
        <f>644.49438-E12</f>
        <v>4.2000000007647031E-5</v>
      </c>
      <c r="Y12" s="101">
        <f>644.49432-E12</f>
        <v>-1.7999999954554369E-5</v>
      </c>
      <c r="Z12" s="98">
        <f>644.495-E12</f>
        <v>6.6200000003391324E-4</v>
      </c>
      <c r="AA12" s="99" t="s">
        <v>3</v>
      </c>
      <c r="AB12" s="99" t="s">
        <v>3</v>
      </c>
      <c r="AC12" s="100">
        <f>644.49371-E12</f>
        <v>-6.2800000000606815E-4</v>
      </c>
      <c r="AD12" s="100" t="s">
        <v>3</v>
      </c>
      <c r="AE12" s="104">
        <f>644.4949-E12</f>
        <v>5.6200000005901529E-4</v>
      </c>
      <c r="AF12" s="104" t="s">
        <v>3</v>
      </c>
      <c r="AG12" s="104">
        <f>644.49214-E12</f>
        <v>-2.1980000000212385E-3</v>
      </c>
      <c r="AH12" s="104">
        <f>644.49478-E12</f>
        <v>4.4200000002092565E-4</v>
      </c>
      <c r="AI12" s="105">
        <v>1.9E-3</v>
      </c>
      <c r="AJ12" s="105">
        <v>-1.2819999999999999E-3</v>
      </c>
      <c r="AK12" s="105">
        <v>8.8800000000000001E-4</v>
      </c>
      <c r="AL12" s="105">
        <v>-5.7600000000000001E-4</v>
      </c>
      <c r="AM12" s="105">
        <v>9.6200000007229391E-4</v>
      </c>
      <c r="AN12" s="106" t="s">
        <v>3</v>
      </c>
      <c r="AO12" s="106" t="s">
        <v>3</v>
      </c>
      <c r="AP12" s="106" t="s">
        <v>3</v>
      </c>
      <c r="AQ12" s="106" t="s">
        <v>3</v>
      </c>
      <c r="AR12" s="106" t="s">
        <v>3</v>
      </c>
      <c r="AS12" s="107">
        <f>644.49762-644.4943</f>
        <v>3.3200000000306318E-3</v>
      </c>
      <c r="AT12" s="107">
        <f>644.49268-644.4943</f>
        <v>-1.6200000000026193E-3</v>
      </c>
      <c r="AU12" s="107">
        <f>644.49561-644.4943</f>
        <v>1.3100000001031731E-3</v>
      </c>
      <c r="AV12" s="107">
        <f>644.49548-644.4943</f>
        <v>1.180000000090331E-3</v>
      </c>
      <c r="AW12" s="108" t="s">
        <v>3</v>
      </c>
      <c r="AX12" s="108" t="s">
        <v>3</v>
      </c>
      <c r="AY12" s="109" t="s">
        <v>3</v>
      </c>
      <c r="AZ12" s="109" t="s">
        <v>3</v>
      </c>
      <c r="BA12" s="123" t="s">
        <v>3</v>
      </c>
    </row>
    <row r="13" spans="1:53" x14ac:dyDescent="0.25">
      <c r="A13" s="38">
        <v>10</v>
      </c>
      <c r="B13" s="139" t="s">
        <v>65</v>
      </c>
      <c r="C13" s="38" t="s">
        <v>138</v>
      </c>
      <c r="D13" s="38" t="s">
        <v>153</v>
      </c>
      <c r="E13" s="48">
        <v>688.52055299999995</v>
      </c>
      <c r="F13" s="102">
        <f>(688.51593-E13)</f>
        <v>-4.6229999999241045E-3</v>
      </c>
      <c r="G13" s="102">
        <f>(688.52228-E13)</f>
        <v>1.7270000000735308E-3</v>
      </c>
      <c r="H13" s="102">
        <f>(688.5206-E13)</f>
        <v>4.6999999995023245E-5</v>
      </c>
      <c r="I13" s="103" t="s">
        <v>3</v>
      </c>
      <c r="J13" s="103" t="s">
        <v>3</v>
      </c>
      <c r="K13" s="116" t="s">
        <v>3</v>
      </c>
      <c r="L13" s="97">
        <f>688.51892-E13</f>
        <v>-1.6329999999697975E-3</v>
      </c>
      <c r="M13" s="97">
        <f>688.51959-688.52055</f>
        <v>-9.5999999996365659E-4</v>
      </c>
      <c r="N13" s="97">
        <f>688.51788-688.52055</f>
        <v>-2.6699999999664215E-3</v>
      </c>
      <c r="O13" s="97">
        <f>688.51959-688.52055</f>
        <v>-9.5999999996365659E-4</v>
      </c>
      <c r="P13" s="97">
        <f>688.51959-E13</f>
        <v>-9.6299999995608232E-4</v>
      </c>
      <c r="Q13" s="97">
        <f>688.52008-E13</f>
        <v>-4.7299999994265818E-4</v>
      </c>
      <c r="R13" s="97">
        <f>688.52002-E13</f>
        <v>-5.3299999990485958E-4</v>
      </c>
      <c r="S13" s="97">
        <f>688.51819-E13</f>
        <v>-2.3629999999457141E-3</v>
      </c>
      <c r="T13" s="97">
        <f>688.52008-E13</f>
        <v>-4.7299999994265818E-4</v>
      </c>
      <c r="U13" s="97" t="s">
        <v>3</v>
      </c>
      <c r="V13" s="97">
        <f>688.51947-E13</f>
        <v>-1.082999999994172E-3</v>
      </c>
      <c r="W13" s="101">
        <f>688.52081-E13</f>
        <v>2.570000000332584E-4</v>
      </c>
      <c r="X13" s="101">
        <f>688.52063-E13</f>
        <v>7.7000000032967364E-5</v>
      </c>
      <c r="Y13" s="101" t="s">
        <v>3</v>
      </c>
      <c r="Z13" s="98">
        <f>688.52118-E13</f>
        <v>6.2700000000859291E-4</v>
      </c>
      <c r="AA13" s="99" t="s">
        <v>3</v>
      </c>
      <c r="AB13" s="99" t="s">
        <v>3</v>
      </c>
      <c r="AC13" s="100">
        <f>688.52002-E13</f>
        <v>-5.3299999990485958E-4</v>
      </c>
      <c r="AD13" s="100" t="s">
        <v>3</v>
      </c>
      <c r="AE13" s="104">
        <f>688.52126-E13</f>
        <v>7.07000000033986E-4</v>
      </c>
      <c r="AF13" s="104" t="s">
        <v>3</v>
      </c>
      <c r="AG13" s="104">
        <f>688.52053-E13</f>
        <v>-2.2999999941930582E-5</v>
      </c>
      <c r="AH13" s="104">
        <f>688.52064-E13</f>
        <v>8.7000000007719791E-5</v>
      </c>
      <c r="AI13" s="105">
        <v>1.4300000000000001E-3</v>
      </c>
      <c r="AJ13" s="105">
        <v>-2.92E-4</v>
      </c>
      <c r="AK13" s="105">
        <v>6.2000000000000003E-5</v>
      </c>
      <c r="AL13" s="105">
        <v>-6.5600000000000001E-4</v>
      </c>
      <c r="AM13" s="105">
        <v>-1.524E-3</v>
      </c>
      <c r="AN13" s="106" t="s">
        <v>3</v>
      </c>
      <c r="AO13" s="106" t="s">
        <v>3</v>
      </c>
      <c r="AP13" s="106" t="s">
        <v>3</v>
      </c>
      <c r="AQ13" s="106" t="s">
        <v>3</v>
      </c>
      <c r="AR13" s="106" t="s">
        <v>3</v>
      </c>
      <c r="AS13" s="107">
        <f>688.52191-688.5206</f>
        <v>1.3100000001031731E-3</v>
      </c>
      <c r="AT13" s="107">
        <f>688.51593-688.5206</f>
        <v>-4.6699999999191277E-3</v>
      </c>
      <c r="AU13" s="107">
        <f>688.5235-688.5206</f>
        <v>2.9000000000678483E-3</v>
      </c>
      <c r="AV13" s="107">
        <f>688.51721-688.5206</f>
        <v>-3.3899999999675856E-3</v>
      </c>
      <c r="AW13" s="108" t="s">
        <v>3</v>
      </c>
      <c r="AX13" s="108" t="s">
        <v>3</v>
      </c>
      <c r="AY13" s="109" t="s">
        <v>3</v>
      </c>
      <c r="AZ13" s="109" t="s">
        <v>3</v>
      </c>
      <c r="BA13" s="123" t="s">
        <v>3</v>
      </c>
    </row>
    <row r="14" spans="1:53" x14ac:dyDescent="0.25">
      <c r="A14" s="38">
        <v>11</v>
      </c>
      <c r="B14" s="139" t="s">
        <v>66</v>
      </c>
      <c r="C14" s="38" t="s">
        <v>138</v>
      </c>
      <c r="D14" s="38" t="s">
        <v>154</v>
      </c>
      <c r="E14" s="48">
        <v>732.54676800000004</v>
      </c>
      <c r="F14" s="102">
        <f>(732.54901-E14)</f>
        <v>2.2419999999101492E-3</v>
      </c>
      <c r="G14" s="102">
        <f>(732.54883-E14)</f>
        <v>2.0619999999098582E-3</v>
      </c>
      <c r="H14" s="102" t="s">
        <v>3</v>
      </c>
      <c r="I14" s="103" t="s">
        <v>3</v>
      </c>
      <c r="J14" s="103" t="s">
        <v>3</v>
      </c>
      <c r="K14" s="116" t="s">
        <v>3</v>
      </c>
      <c r="L14" s="97">
        <f>732.54529-E14</f>
        <v>-1.4780000000200744E-3</v>
      </c>
      <c r="M14" s="97">
        <f>732.5462-732.54677</f>
        <v>-5.7000000003881723E-4</v>
      </c>
      <c r="N14" s="97">
        <f>732.54382-732.54677</f>
        <v>-2.9500000000552973E-3</v>
      </c>
      <c r="O14" s="97">
        <f>732.5462-732.54677</f>
        <v>-5.7000000003881723E-4</v>
      </c>
      <c r="P14" s="97">
        <f>732.54633-E14</f>
        <v>-4.3800000003102468E-4</v>
      </c>
      <c r="Q14" s="97">
        <f>732.54657-E14</f>
        <v>-1.9800000006853224E-4</v>
      </c>
      <c r="R14" s="97">
        <f>732.54633-E14</f>
        <v>-4.3800000003102468E-4</v>
      </c>
      <c r="S14" s="97">
        <f>732.54437-E14</f>
        <v>-2.3980000000847213E-3</v>
      </c>
      <c r="T14" s="97">
        <f>732.54608-E14</f>
        <v>-6.8800000008195639E-4</v>
      </c>
      <c r="U14" s="97" t="s">
        <v>3</v>
      </c>
      <c r="V14" s="97">
        <f>732.5459-E14</f>
        <v>-8.6800000008224742E-4</v>
      </c>
      <c r="W14" s="101">
        <f>732.54712-E14</f>
        <v>3.519999999070933E-4</v>
      </c>
      <c r="X14" s="101">
        <f>732.54688-E14</f>
        <v>1.1199999994460086E-4</v>
      </c>
      <c r="Y14" s="101" t="s">
        <v>3</v>
      </c>
      <c r="Z14" s="98">
        <f>732.54749-E14</f>
        <v>7.2199999999611464E-4</v>
      </c>
      <c r="AA14" s="99" t="s">
        <v>3</v>
      </c>
      <c r="AB14" s="99" t="s">
        <v>3</v>
      </c>
      <c r="AC14" s="100">
        <f>732.5462-E14</f>
        <v>-5.6800000004386675E-4</v>
      </c>
      <c r="AD14" s="100" t="s">
        <v>3</v>
      </c>
      <c r="AE14" s="104">
        <f>732.54776-E14</f>
        <v>9.919999999965512E-4</v>
      </c>
      <c r="AF14" s="104" t="s">
        <v>3</v>
      </c>
      <c r="AG14" s="104">
        <f>732.54559-E14</f>
        <v>-1.1780000000953805E-3</v>
      </c>
      <c r="AH14" s="104">
        <f>732.54604-E14</f>
        <v>-7.2800000009465293E-4</v>
      </c>
      <c r="AI14" s="105">
        <v>-1.0660000000000001E-3</v>
      </c>
      <c r="AJ14" s="105" t="s">
        <v>3</v>
      </c>
      <c r="AK14" s="105">
        <v>2.5599999999999999E-4</v>
      </c>
      <c r="AL14" s="105">
        <v>-2.3219999999999998E-3</v>
      </c>
      <c r="AM14" s="105">
        <v>-6.5300000000000004E-4</v>
      </c>
      <c r="AN14" s="106" t="s">
        <v>3</v>
      </c>
      <c r="AO14" s="106" t="s">
        <v>3</v>
      </c>
      <c r="AP14" s="106" t="s">
        <v>3</v>
      </c>
      <c r="AQ14" s="106" t="s">
        <v>3</v>
      </c>
      <c r="AR14" s="106" t="s">
        <v>3</v>
      </c>
      <c r="AS14" s="107">
        <f>732.54858-732.5468</f>
        <v>1.7800000000534055E-3</v>
      </c>
      <c r="AT14" s="107">
        <f>732.54688-732.5468</f>
        <v>8.0000000025393092E-5</v>
      </c>
      <c r="AU14" s="107">
        <f>732.54541-732.5468</f>
        <v>-1.3900000000148793E-3</v>
      </c>
      <c r="AV14" s="107">
        <f>732.5462-732.5468</f>
        <v>-5.9999999996307452E-4</v>
      </c>
      <c r="AW14" s="108" t="s">
        <v>3</v>
      </c>
      <c r="AX14" s="108" t="s">
        <v>3</v>
      </c>
      <c r="AY14" s="109" t="s">
        <v>3</v>
      </c>
      <c r="AZ14" s="109" t="s">
        <v>3</v>
      </c>
      <c r="BA14" s="123" t="s">
        <v>3</v>
      </c>
    </row>
    <row r="15" spans="1:53" x14ac:dyDescent="0.25">
      <c r="A15" s="38">
        <v>12</v>
      </c>
      <c r="B15" s="139" t="s">
        <v>67</v>
      </c>
      <c r="C15" s="38" t="s">
        <v>138</v>
      </c>
      <c r="D15" s="38" t="s">
        <v>155</v>
      </c>
      <c r="E15" s="48">
        <v>776.57298300000002</v>
      </c>
      <c r="F15" s="102" t="s">
        <v>3</v>
      </c>
      <c r="G15" s="102">
        <f>(776.5694-E15)</f>
        <v>-3.5830000000487416E-3</v>
      </c>
      <c r="H15" s="102" t="s">
        <v>3</v>
      </c>
      <c r="I15" s="103" t="s">
        <v>3</v>
      </c>
      <c r="J15" s="103" t="s">
        <v>3</v>
      </c>
      <c r="K15" s="116" t="s">
        <v>3</v>
      </c>
      <c r="L15" s="97">
        <f>776.57202-E15</f>
        <v>-9.6300000006976916E-4</v>
      </c>
      <c r="M15" s="97">
        <f>776.57239-776.57298</f>
        <v>-5.8999999998832209E-4</v>
      </c>
      <c r="N15" s="97">
        <f>776.57068-776.57298</f>
        <v>-2.299999999991087E-3</v>
      </c>
      <c r="O15" s="97">
        <f>776.57111-776.57298</f>
        <v>-1.870000000053551E-3</v>
      </c>
      <c r="P15" s="97">
        <f>776.57178-E15</f>
        <v>-1.2030000000322616E-3</v>
      </c>
      <c r="Q15" s="97">
        <f>776.57239-E15</f>
        <v>-5.9299999998074782E-4</v>
      </c>
      <c r="R15" s="97">
        <f>776.5719-E15</f>
        <v>-1.082999999994172E-3</v>
      </c>
      <c r="S15" s="97">
        <f>776.57019-E15</f>
        <v>-2.7929999999969368E-3</v>
      </c>
      <c r="T15" s="97">
        <f>776.57208-E15</f>
        <v>-9.0299999999388092E-4</v>
      </c>
      <c r="U15" s="97" t="s">
        <v>3</v>
      </c>
      <c r="V15" s="97">
        <f>776.57141-E15</f>
        <v>-1.5730000000075961E-3</v>
      </c>
      <c r="W15" s="101">
        <f>776.5733-E15</f>
        <v>3.169999999954598E-4</v>
      </c>
      <c r="X15" s="101">
        <f>776.57288-E15</f>
        <v>-1.0299999996732367E-4</v>
      </c>
      <c r="Y15" s="101" t="s">
        <v>3</v>
      </c>
      <c r="Z15" s="98">
        <f>776.57483-E15</f>
        <v>1.8469999999979336E-3</v>
      </c>
      <c r="AA15" s="99" t="s">
        <v>3</v>
      </c>
      <c r="AB15" s="99" t="s">
        <v>3</v>
      </c>
      <c r="AC15" s="100">
        <f>776.57233-E15</f>
        <v>-6.5300000005663605E-4</v>
      </c>
      <c r="AD15" s="100" t="s">
        <v>3</v>
      </c>
      <c r="AE15" s="104">
        <f>776.57438-E15</f>
        <v>1.396999999997206E-3</v>
      </c>
      <c r="AF15" s="104" t="s">
        <v>3</v>
      </c>
      <c r="AG15" s="104">
        <f>776.5702-E15</f>
        <v>-2.7830000000221844E-3</v>
      </c>
      <c r="AH15" s="104">
        <f>776.57211-E15</f>
        <v>-8.7300000006962364E-4</v>
      </c>
      <c r="AI15" s="105">
        <v>-5.5699999999999999E-4</v>
      </c>
      <c r="AJ15" s="105" t="s">
        <v>3</v>
      </c>
      <c r="AK15" s="105">
        <v>-9.5500000000000001E-4</v>
      </c>
      <c r="AL15" s="105">
        <v>-5.0100000000000003E-4</v>
      </c>
      <c r="AM15" s="105">
        <v>-8.52E-4</v>
      </c>
      <c r="AN15" s="106" t="s">
        <v>3</v>
      </c>
      <c r="AO15" s="106" t="s">
        <v>3</v>
      </c>
      <c r="AP15" s="106" t="s">
        <v>3</v>
      </c>
      <c r="AQ15" s="106" t="s">
        <v>3</v>
      </c>
      <c r="AR15" s="106" t="s">
        <v>3</v>
      </c>
      <c r="AS15" s="107" t="s">
        <v>3</v>
      </c>
      <c r="AT15" s="107">
        <f>776.57092-776.573</f>
        <v>-2.0799999999780994E-3</v>
      </c>
      <c r="AU15" s="107">
        <f>776.5752-776.573</f>
        <v>2.200000000016189E-3</v>
      </c>
      <c r="AV15" s="107">
        <f>776.57501-776.573</f>
        <v>2.0100000000411455E-3</v>
      </c>
      <c r="AW15" s="108" t="s">
        <v>3</v>
      </c>
      <c r="AX15" s="108" t="s">
        <v>3</v>
      </c>
      <c r="AY15" s="109" t="s">
        <v>3</v>
      </c>
      <c r="AZ15" s="109" t="s">
        <v>3</v>
      </c>
      <c r="BA15" s="123" t="s">
        <v>3</v>
      </c>
    </row>
    <row r="16" spans="1:53" x14ac:dyDescent="0.25">
      <c r="A16" s="38">
        <v>13</v>
      </c>
      <c r="B16" s="139" t="s">
        <v>68</v>
      </c>
      <c r="C16" s="38" t="s">
        <v>138</v>
      </c>
      <c r="D16" s="38" t="s">
        <v>156</v>
      </c>
      <c r="E16" s="48">
        <v>820.599197</v>
      </c>
      <c r="F16" s="102" t="s">
        <v>3</v>
      </c>
      <c r="G16" s="102" t="s">
        <v>3</v>
      </c>
      <c r="H16" s="102" t="s">
        <v>3</v>
      </c>
      <c r="I16" s="103" t="s">
        <v>3</v>
      </c>
      <c r="J16" s="103" t="s">
        <v>3</v>
      </c>
      <c r="K16" s="116" t="s">
        <v>3</v>
      </c>
      <c r="L16" s="97">
        <f>820.59772-E16</f>
        <v>-1.4770000000225991E-3</v>
      </c>
      <c r="M16" s="97">
        <f>820.59778-820.5992</f>
        <v>-1.4200000000528235E-3</v>
      </c>
      <c r="N16" s="97">
        <f>820.59692-820.5992</f>
        <v>-2.2800000000415821E-3</v>
      </c>
      <c r="O16" s="97">
        <f>820.59979-820.5992</f>
        <v>5.8999999998832209E-4</v>
      </c>
      <c r="P16" s="97">
        <f>820.59723-E16</f>
        <v>-1.9670000000360233E-3</v>
      </c>
      <c r="Q16" s="97">
        <f>820.59967-E16</f>
        <v>4.7299999994265818E-4</v>
      </c>
      <c r="R16" s="97">
        <f>820.59888-E16</f>
        <v>-3.169999999954598E-4</v>
      </c>
      <c r="S16" s="97" t="s">
        <v>3</v>
      </c>
      <c r="T16" s="97">
        <f>820.59857-E16</f>
        <v>-6.2700000000859291E-4</v>
      </c>
      <c r="U16" s="97" t="s">
        <v>3</v>
      </c>
      <c r="V16" s="97">
        <f>820.59918-E16</f>
        <v>-1.6999999957079126E-5</v>
      </c>
      <c r="W16" s="101">
        <f>820.59912-E16</f>
        <v>-7.7000000032967364E-5</v>
      </c>
      <c r="X16" s="101">
        <f>820.59949-E16</f>
        <v>2.9299999994236714E-4</v>
      </c>
      <c r="Y16" s="101" t="s">
        <v>3</v>
      </c>
      <c r="Z16" s="98">
        <f>820.60083-E16</f>
        <v>1.6329999999697975E-3</v>
      </c>
      <c r="AA16" s="99" t="s">
        <v>3</v>
      </c>
      <c r="AB16" s="99" t="s">
        <v>3</v>
      </c>
      <c r="AC16" s="100">
        <f>820.59839-E16</f>
        <v>-8.0700000000888394E-4</v>
      </c>
      <c r="AD16" s="100" t="s">
        <v>3</v>
      </c>
      <c r="AE16" s="104">
        <f>820.60047-E16</f>
        <v>1.2729999999692154E-3</v>
      </c>
      <c r="AF16" s="104" t="s">
        <v>3</v>
      </c>
      <c r="AG16" s="104" t="s">
        <v>3</v>
      </c>
      <c r="AH16" s="104">
        <f>820.59605-E16</f>
        <v>-3.1470000000126674E-3</v>
      </c>
      <c r="AI16" s="105">
        <v>1.45E-4</v>
      </c>
      <c r="AJ16" s="105" t="s">
        <v>3</v>
      </c>
      <c r="AK16" s="105">
        <v>-4.6200000000000001E-4</v>
      </c>
      <c r="AL16" s="105">
        <v>2.2000000000000001E-3</v>
      </c>
      <c r="AM16" s="105">
        <v>-3.8110000000000002E-3</v>
      </c>
      <c r="AN16" s="106" t="s">
        <v>3</v>
      </c>
      <c r="AO16" s="106" t="s">
        <v>3</v>
      </c>
      <c r="AP16" s="106" t="s">
        <v>3</v>
      </c>
      <c r="AQ16" s="106" t="s">
        <v>3</v>
      </c>
      <c r="AR16" s="106" t="s">
        <v>3</v>
      </c>
      <c r="AS16" s="107" t="s">
        <v>3</v>
      </c>
      <c r="AT16" s="107">
        <f>820.59802-820.5992</f>
        <v>-1.1799999999766442E-3</v>
      </c>
      <c r="AU16" s="107">
        <f>820.60132-820.5992</f>
        <v>2.1199999999907959E-3</v>
      </c>
      <c r="AV16" s="107">
        <f>820.60132-820.5992</f>
        <v>2.1199999999907959E-3</v>
      </c>
      <c r="AW16" s="108" t="s">
        <v>3</v>
      </c>
      <c r="AX16" s="108" t="s">
        <v>3</v>
      </c>
      <c r="AY16" s="109" t="s">
        <v>3</v>
      </c>
      <c r="AZ16" s="109" t="s">
        <v>3</v>
      </c>
      <c r="BA16" s="123" t="s">
        <v>3</v>
      </c>
    </row>
    <row r="17" spans="1:53" x14ac:dyDescent="0.25">
      <c r="A17" s="38">
        <v>14</v>
      </c>
      <c r="B17" s="139" t="s">
        <v>69</v>
      </c>
      <c r="C17" s="38" t="s">
        <v>138</v>
      </c>
      <c r="D17" s="38" t="s">
        <v>157</v>
      </c>
      <c r="E17" s="48">
        <v>864.62541199999998</v>
      </c>
      <c r="F17" s="102" t="s">
        <v>3</v>
      </c>
      <c r="G17" s="102" t="s">
        <v>3</v>
      </c>
      <c r="H17" s="102" t="s">
        <v>3</v>
      </c>
      <c r="I17" s="103" t="s">
        <v>3</v>
      </c>
      <c r="J17" s="103" t="s">
        <v>3</v>
      </c>
      <c r="K17" s="116" t="s">
        <v>3</v>
      </c>
      <c r="L17" s="97">
        <f>864.62628-E17</f>
        <v>8.6799999996856059E-4</v>
      </c>
      <c r="M17" s="97">
        <f>864.62433-864.62541</f>
        <v>-1.0800000000017462E-3</v>
      </c>
      <c r="N17" s="97">
        <f>864.62292-864.62541</f>
        <v>-2.4899999999661304E-3</v>
      </c>
      <c r="O17" s="97">
        <f>864.62238-864.62541</f>
        <v>-3.0299999999670035E-3</v>
      </c>
      <c r="P17" s="97">
        <f>864.62341-E17</f>
        <v>-2.0019999999476568E-3</v>
      </c>
      <c r="Q17" s="97">
        <f>864.62708-E17</f>
        <v>1.6679999999951178E-3</v>
      </c>
      <c r="R17" s="97">
        <f>864.62482-E17</f>
        <v>-5.9199999998327257E-4</v>
      </c>
      <c r="S17" s="97" t="s">
        <v>3</v>
      </c>
      <c r="T17" s="97">
        <f>864.62433-E17</f>
        <v>-1.0819999999966967E-3</v>
      </c>
      <c r="U17" s="97" t="s">
        <v>3</v>
      </c>
      <c r="V17" s="97">
        <f>864.62372-E17</f>
        <v>-1.6919999999345237E-3</v>
      </c>
      <c r="W17" s="101">
        <f>864.62567-E17</f>
        <v>2.5800000003073364E-4</v>
      </c>
      <c r="X17" s="101">
        <f>864.62598-E17</f>
        <v>5.6800000004386675E-4</v>
      </c>
      <c r="Y17" s="101" t="s">
        <v>3</v>
      </c>
      <c r="Z17" s="98">
        <f>864.62598-E17</f>
        <v>5.6800000004386675E-4</v>
      </c>
      <c r="AA17" s="99" t="s">
        <v>3</v>
      </c>
      <c r="AB17" s="99" t="s">
        <v>3</v>
      </c>
      <c r="AC17" s="100">
        <f>864.62408-E17</f>
        <v>-1.3319999999339416E-3</v>
      </c>
      <c r="AD17" s="100" t="s">
        <v>3</v>
      </c>
      <c r="AE17" s="104">
        <f>864.62601-E17</f>
        <v>5.9799999996812403E-4</v>
      </c>
      <c r="AF17" s="104" t="s">
        <v>3</v>
      </c>
      <c r="AG17" s="104" t="s">
        <v>3</v>
      </c>
      <c r="AH17" s="104">
        <f>864.62152-E17</f>
        <v>-3.8919999999507127E-3</v>
      </c>
      <c r="AI17" s="105" t="s">
        <v>3</v>
      </c>
      <c r="AJ17" s="105" t="s">
        <v>3</v>
      </c>
      <c r="AK17" s="105">
        <v>-1.63E-4</v>
      </c>
      <c r="AL17" s="105" t="s">
        <v>3</v>
      </c>
      <c r="AM17" s="105">
        <v>-2.2729999999999998E-3</v>
      </c>
      <c r="AN17" s="106" t="s">
        <v>3</v>
      </c>
      <c r="AO17" s="106" t="s">
        <v>3</v>
      </c>
      <c r="AP17" s="106" t="s">
        <v>3</v>
      </c>
      <c r="AQ17" s="106" t="s">
        <v>3</v>
      </c>
      <c r="AR17" s="106" t="s">
        <v>3</v>
      </c>
      <c r="AS17" s="107" t="s">
        <v>3</v>
      </c>
      <c r="AT17" s="107">
        <f>864.6236-864.6254</f>
        <v>-1.8000000000029104E-3</v>
      </c>
      <c r="AU17" s="107" t="s">
        <v>3</v>
      </c>
      <c r="AV17" s="107" t="s">
        <v>3</v>
      </c>
      <c r="AW17" s="108" t="s">
        <v>3</v>
      </c>
      <c r="AX17" s="108" t="s">
        <v>3</v>
      </c>
      <c r="AY17" s="109" t="s">
        <v>3</v>
      </c>
      <c r="AZ17" s="109" t="s">
        <v>3</v>
      </c>
      <c r="BA17" s="123" t="s">
        <v>3</v>
      </c>
    </row>
    <row r="18" spans="1:53" x14ac:dyDescent="0.25">
      <c r="A18" s="38">
        <v>15</v>
      </c>
      <c r="B18" s="139" t="s">
        <v>70</v>
      </c>
      <c r="C18" s="38" t="s">
        <v>138</v>
      </c>
      <c r="D18" s="38" t="s">
        <v>158</v>
      </c>
      <c r="E18" s="48">
        <v>908.65162699999996</v>
      </c>
      <c r="F18" s="102" t="s">
        <v>3</v>
      </c>
      <c r="G18" s="102" t="s">
        <v>3</v>
      </c>
      <c r="H18" s="102" t="s">
        <v>3</v>
      </c>
      <c r="I18" s="103" t="s">
        <v>3</v>
      </c>
      <c r="J18" s="103" t="s">
        <v>3</v>
      </c>
      <c r="K18" s="116" t="s">
        <v>3</v>
      </c>
      <c r="L18" s="97" t="s">
        <v>3</v>
      </c>
      <c r="M18" s="97">
        <f>908.65222-908.65163</f>
        <v>5.9000000010200893E-4</v>
      </c>
      <c r="N18" s="97" t="s">
        <v>3</v>
      </c>
      <c r="O18" s="97" t="s">
        <v>3</v>
      </c>
      <c r="P18" s="97" t="s">
        <v>3</v>
      </c>
      <c r="Q18" s="97" t="s">
        <v>3</v>
      </c>
      <c r="R18" s="97">
        <f>908.65222-E18</f>
        <v>5.9300000009443465E-4</v>
      </c>
      <c r="S18" s="97" t="s">
        <v>3</v>
      </c>
      <c r="T18" s="97">
        <f>908.65057-E18</f>
        <v>-1.0569999999461288E-3</v>
      </c>
      <c r="U18" s="97" t="s">
        <v>3</v>
      </c>
      <c r="V18" s="97" t="s">
        <v>3</v>
      </c>
      <c r="W18" s="101">
        <f>908.65033-E18</f>
        <v>-1.2969999999086212E-3</v>
      </c>
      <c r="X18" s="101">
        <f>908.65253-E18</f>
        <v>9.0299999999388092E-4</v>
      </c>
      <c r="Y18" s="101" t="s">
        <v>3</v>
      </c>
      <c r="Z18" s="98">
        <f>908.65228-E18</f>
        <v>6.5300000005663605E-4</v>
      </c>
      <c r="AA18" s="99" t="s">
        <v>3</v>
      </c>
      <c r="AB18" s="99" t="s">
        <v>3</v>
      </c>
      <c r="AC18" s="100">
        <f>908.6507-E18</f>
        <v>-9.2699999993328674E-4</v>
      </c>
      <c r="AD18" s="100" t="s">
        <v>3</v>
      </c>
      <c r="AE18" s="104">
        <f>908.6516-E18</f>
        <v>-2.6999999931831553E-5</v>
      </c>
      <c r="AF18" s="104" t="s">
        <v>3</v>
      </c>
      <c r="AG18" s="104" t="s">
        <v>3</v>
      </c>
      <c r="AH18" s="104">
        <f>908.6469-E18</f>
        <v>-4.7270000000025902E-3</v>
      </c>
      <c r="AI18" s="105" t="s">
        <v>3</v>
      </c>
      <c r="AJ18" s="105" t="s">
        <v>3</v>
      </c>
      <c r="AK18" s="105" t="s">
        <v>3</v>
      </c>
      <c r="AL18" s="105" t="s">
        <v>3</v>
      </c>
      <c r="AM18" s="105" t="s">
        <v>3</v>
      </c>
      <c r="AN18" s="106" t="s">
        <v>3</v>
      </c>
      <c r="AO18" s="106" t="s">
        <v>3</v>
      </c>
      <c r="AP18" s="106" t="s">
        <v>3</v>
      </c>
      <c r="AQ18" s="106" t="s">
        <v>3</v>
      </c>
      <c r="AR18" s="106" t="s">
        <v>3</v>
      </c>
      <c r="AS18" s="107" t="s">
        <v>3</v>
      </c>
      <c r="AT18" s="107" t="s">
        <v>3</v>
      </c>
      <c r="AU18" s="107" t="s">
        <v>3</v>
      </c>
      <c r="AV18" s="107" t="s">
        <v>3</v>
      </c>
      <c r="AW18" s="108" t="s">
        <v>3</v>
      </c>
      <c r="AX18" s="108" t="s">
        <v>3</v>
      </c>
      <c r="AY18" s="109" t="s">
        <v>3</v>
      </c>
      <c r="AZ18" s="109" t="s">
        <v>3</v>
      </c>
      <c r="BA18" s="123" t="s">
        <v>3</v>
      </c>
    </row>
    <row r="19" spans="1:53" x14ac:dyDescent="0.25">
      <c r="A19" s="38">
        <v>16</v>
      </c>
      <c r="B19" s="139" t="s">
        <v>71</v>
      </c>
      <c r="C19" s="38" t="s">
        <v>138</v>
      </c>
      <c r="D19" s="38" t="s">
        <v>159</v>
      </c>
      <c r="E19" s="48">
        <v>952.67784200000006</v>
      </c>
      <c r="F19" s="102" t="s">
        <v>3</v>
      </c>
      <c r="G19" s="102" t="s">
        <v>3</v>
      </c>
      <c r="H19" s="102" t="s">
        <v>3</v>
      </c>
      <c r="I19" s="103" t="s">
        <v>3</v>
      </c>
      <c r="J19" s="103" t="s">
        <v>3</v>
      </c>
      <c r="K19" s="116" t="s">
        <v>3</v>
      </c>
      <c r="L19" s="97" t="s">
        <v>3</v>
      </c>
      <c r="M19" s="97">
        <f>952.67853-952.67784</f>
        <v>6.9000000007690687E-4</v>
      </c>
      <c r="N19" s="97" t="s">
        <v>3</v>
      </c>
      <c r="O19" s="97" t="s">
        <v>3</v>
      </c>
      <c r="P19" s="97" t="s">
        <v>3</v>
      </c>
      <c r="Q19" s="97" t="s">
        <v>3</v>
      </c>
      <c r="R19" s="97">
        <f>952.67743-E19</f>
        <v>-4.1200000009666837E-4</v>
      </c>
      <c r="S19" s="97" t="s">
        <v>3</v>
      </c>
      <c r="T19" s="97">
        <f>952.67639-E19</f>
        <v>-1.4520000000857181E-3</v>
      </c>
      <c r="U19" s="97" t="s">
        <v>3</v>
      </c>
      <c r="V19" s="97" t="s">
        <v>3</v>
      </c>
      <c r="W19" s="101">
        <f>952.6781-E19</f>
        <v>2.5799999991704681E-4</v>
      </c>
      <c r="X19" s="101">
        <f>952.67719-E19</f>
        <v>-6.5200000005916081E-4</v>
      </c>
      <c r="Y19" s="101" t="s">
        <v>3</v>
      </c>
      <c r="Z19" s="98">
        <f>952.68079-E19</f>
        <v>2.94799999994666E-3</v>
      </c>
      <c r="AA19" s="99" t="s">
        <v>3</v>
      </c>
      <c r="AB19" s="99" t="s">
        <v>3</v>
      </c>
      <c r="AC19" s="100">
        <f>952.67627-E19</f>
        <v>-1.5720000000101209E-3</v>
      </c>
      <c r="AD19" s="100" t="s">
        <v>3</v>
      </c>
      <c r="AE19" s="104">
        <f>952.67785-E19</f>
        <v>7.9999999798019417E-6</v>
      </c>
      <c r="AF19" s="104" t="s">
        <v>3</v>
      </c>
      <c r="AG19" s="104" t="s">
        <v>3</v>
      </c>
      <c r="AH19" s="104" t="s">
        <v>3</v>
      </c>
      <c r="AI19" s="105" t="s">
        <v>3</v>
      </c>
      <c r="AJ19" s="105" t="s">
        <v>3</v>
      </c>
      <c r="AK19" s="105" t="s">
        <v>3</v>
      </c>
      <c r="AL19" s="105" t="s">
        <v>3</v>
      </c>
      <c r="AM19" s="105" t="s">
        <v>3</v>
      </c>
      <c r="AN19" s="106" t="s">
        <v>3</v>
      </c>
      <c r="AO19" s="106" t="s">
        <v>3</v>
      </c>
      <c r="AP19" s="106" t="s">
        <v>3</v>
      </c>
      <c r="AQ19" s="106" t="s">
        <v>3</v>
      </c>
      <c r="AR19" s="106" t="s">
        <v>3</v>
      </c>
      <c r="AS19" s="107" t="s">
        <v>3</v>
      </c>
      <c r="AT19" s="107" t="s">
        <v>3</v>
      </c>
      <c r="AU19" s="107" t="s">
        <v>3</v>
      </c>
      <c r="AV19" s="107" t="s">
        <v>3</v>
      </c>
      <c r="AW19" s="108" t="s">
        <v>3</v>
      </c>
      <c r="AX19" s="108" t="s">
        <v>3</v>
      </c>
      <c r="AY19" s="109" t="s">
        <v>3</v>
      </c>
      <c r="AZ19" s="109" t="s">
        <v>3</v>
      </c>
      <c r="BA19" s="123" t="s">
        <v>3</v>
      </c>
    </row>
    <row r="20" spans="1:53" x14ac:dyDescent="0.25">
      <c r="A20" s="38">
        <v>17</v>
      </c>
      <c r="B20" s="139" t="s">
        <v>72</v>
      </c>
      <c r="C20" s="38" t="s">
        <v>138</v>
      </c>
      <c r="D20" s="38" t="s">
        <v>160</v>
      </c>
      <c r="E20" s="48">
        <v>996.70405600000004</v>
      </c>
      <c r="F20" s="102" t="s">
        <v>3</v>
      </c>
      <c r="G20" s="102" t="s">
        <v>3</v>
      </c>
      <c r="H20" s="102" t="s">
        <v>3</v>
      </c>
      <c r="I20" s="103" t="s">
        <v>3</v>
      </c>
      <c r="J20" s="103" t="s">
        <v>3</v>
      </c>
      <c r="K20" s="116" t="s">
        <v>3</v>
      </c>
      <c r="L20" s="97" t="s">
        <v>3</v>
      </c>
      <c r="M20" s="97">
        <f>996.70831-996.70406</f>
        <v>4.2499999999563443E-3</v>
      </c>
      <c r="N20" s="97" t="s">
        <v>3</v>
      </c>
      <c r="O20" s="97" t="s">
        <v>3</v>
      </c>
      <c r="P20" s="97" t="s">
        <v>3</v>
      </c>
      <c r="Q20" s="97" t="s">
        <v>3</v>
      </c>
      <c r="R20" s="97" t="s">
        <v>3</v>
      </c>
      <c r="S20" s="97" t="s">
        <v>3</v>
      </c>
      <c r="T20" s="97">
        <f>996.70227-E20</f>
        <v>-1.786000000038257E-3</v>
      </c>
      <c r="U20" s="97" t="s">
        <v>3</v>
      </c>
      <c r="V20" s="97" t="s">
        <v>3</v>
      </c>
      <c r="W20" s="101">
        <f>996.70319-E20</f>
        <v>-8.6600000008729694E-4</v>
      </c>
      <c r="X20" s="101">
        <f>996.70612-E20</f>
        <v>2.0640000000184955E-3</v>
      </c>
      <c r="Y20" s="101" t="s">
        <v>3</v>
      </c>
      <c r="Z20" s="98">
        <f>996.70502-E20</f>
        <v>9.6399999995355756E-4</v>
      </c>
      <c r="AA20" s="99" t="s">
        <v>3</v>
      </c>
      <c r="AB20" s="99" t="s">
        <v>3</v>
      </c>
      <c r="AC20" s="100" t="s">
        <v>3</v>
      </c>
      <c r="AD20" s="100" t="s">
        <v>3</v>
      </c>
      <c r="AE20" s="104">
        <f>996.70395-E20</f>
        <v>-1.0600000007343624E-4</v>
      </c>
      <c r="AF20" s="104" t="s">
        <v>3</v>
      </c>
      <c r="AG20" s="104" t="s">
        <v>3</v>
      </c>
      <c r="AH20" s="104" t="s">
        <v>3</v>
      </c>
      <c r="AI20" s="105" t="s">
        <v>3</v>
      </c>
      <c r="AJ20" s="105" t="s">
        <v>3</v>
      </c>
      <c r="AK20" s="105" t="s">
        <v>3</v>
      </c>
      <c r="AL20" s="105" t="s">
        <v>3</v>
      </c>
      <c r="AM20" s="105" t="s">
        <v>3</v>
      </c>
      <c r="AN20" s="106" t="s">
        <v>3</v>
      </c>
      <c r="AO20" s="106" t="s">
        <v>3</v>
      </c>
      <c r="AP20" s="106" t="s">
        <v>3</v>
      </c>
      <c r="AQ20" s="106" t="s">
        <v>3</v>
      </c>
      <c r="AR20" s="106" t="s">
        <v>3</v>
      </c>
      <c r="AS20" s="107" t="s">
        <v>3</v>
      </c>
      <c r="AT20" s="107" t="s">
        <v>3</v>
      </c>
      <c r="AU20" s="107" t="s">
        <v>3</v>
      </c>
      <c r="AV20" s="107" t="s">
        <v>3</v>
      </c>
      <c r="AW20" s="108" t="s">
        <v>3</v>
      </c>
      <c r="AX20" s="108" t="s">
        <v>3</v>
      </c>
      <c r="AY20" s="109" t="s">
        <v>3</v>
      </c>
      <c r="AZ20" s="109" t="s">
        <v>3</v>
      </c>
      <c r="BA20" s="123" t="s">
        <v>3</v>
      </c>
    </row>
    <row r="21" spans="1:53" x14ac:dyDescent="0.25">
      <c r="A21" s="38">
        <v>18</v>
      </c>
      <c r="B21" s="139" t="s">
        <v>73</v>
      </c>
      <c r="C21" s="38" t="s">
        <v>138</v>
      </c>
      <c r="D21" s="38" t="s">
        <v>161</v>
      </c>
      <c r="E21" s="48">
        <v>195.12270000000001</v>
      </c>
      <c r="F21" s="102" t="s">
        <v>3</v>
      </c>
      <c r="G21" s="102" t="s">
        <v>3</v>
      </c>
      <c r="H21" s="102" t="s">
        <v>3</v>
      </c>
      <c r="I21" s="103" t="s">
        <v>3</v>
      </c>
      <c r="J21" s="103" t="s">
        <v>3</v>
      </c>
      <c r="K21" s="116" t="s">
        <v>3</v>
      </c>
      <c r="L21" s="97">
        <f>195.12241-E21</f>
        <v>-2.9000000000678483E-4</v>
      </c>
      <c r="M21" s="97">
        <f>(195.1221-E21)</f>
        <v>-6.0000000001991793E-4</v>
      </c>
      <c r="N21" s="97">
        <f>195.1226-E21</f>
        <v>-1.0000000000331966E-4</v>
      </c>
      <c r="O21" s="97">
        <f>195.1225-E21</f>
        <v>-2.0000000000663931E-4</v>
      </c>
      <c r="P21" s="97">
        <f>195.1226-E21</f>
        <v>-1.0000000000331966E-4</v>
      </c>
      <c r="Q21" s="97">
        <f>195.1226-E21</f>
        <v>-1.0000000000331966E-4</v>
      </c>
      <c r="R21" s="97">
        <f>195.1226-E21</f>
        <v>-1.0000000000331966E-4</v>
      </c>
      <c r="S21" s="97">
        <f>195.1219-E21</f>
        <v>-7.9999999999813554E-4</v>
      </c>
      <c r="T21" s="97">
        <f>195.12241-E21</f>
        <v>-2.9000000000678483E-4</v>
      </c>
      <c r="U21" s="97">
        <f>195.12241-E21</f>
        <v>-2.9000000000678483E-4</v>
      </c>
      <c r="V21" s="97">
        <f>195.1226-E21</f>
        <v>-1.0000000000331966E-4</v>
      </c>
      <c r="W21" s="101">
        <f>195.1228-E21</f>
        <v>1.0000000000331966E-4</v>
      </c>
      <c r="X21" s="101">
        <f>195.1227-E21</f>
        <v>0</v>
      </c>
      <c r="Y21" s="101" t="s">
        <v>3</v>
      </c>
      <c r="Z21" s="98">
        <f>195.12331-E21</f>
        <v>6.0999999999467036E-4</v>
      </c>
      <c r="AA21" s="99">
        <f>195.1227-E21</f>
        <v>0</v>
      </c>
      <c r="AB21" s="99">
        <f>195.1226-E21</f>
        <v>-1.0000000000331966E-4</v>
      </c>
      <c r="AC21" s="100">
        <f>195.1226-E21</f>
        <v>-1.0000000000331966E-4</v>
      </c>
      <c r="AD21" s="100" t="s">
        <v>3</v>
      </c>
      <c r="AE21" s="104">
        <f>195.12279-E21</f>
        <v>9.0000000000145519E-5</v>
      </c>
      <c r="AF21" s="104">
        <f>195.12264-E21</f>
        <v>-6.0000000019044819E-5</v>
      </c>
      <c r="AG21" s="104">
        <f>195.12254-E21</f>
        <v>-1.6000000002236447E-4</v>
      </c>
      <c r="AH21" s="104">
        <f>195.1227-E21</f>
        <v>0</v>
      </c>
      <c r="AI21" s="105">
        <v>6.4000000000000005E-4</v>
      </c>
      <c r="AJ21" s="105">
        <f>195.1218-195.1227</f>
        <v>-9.0000000000145519E-4</v>
      </c>
      <c r="AK21" s="105">
        <v>-1.7030000000000001E-3</v>
      </c>
      <c r="AL21" s="105">
        <v>-1.2130000000000001E-3</v>
      </c>
      <c r="AM21" s="105" t="s">
        <v>3</v>
      </c>
      <c r="AN21" s="106" t="s">
        <v>3</v>
      </c>
      <c r="AO21" s="106" t="s">
        <v>3</v>
      </c>
      <c r="AP21" s="106" t="s">
        <v>3</v>
      </c>
      <c r="AQ21" s="106" t="s">
        <v>3</v>
      </c>
      <c r="AR21" s="106" t="s">
        <v>3</v>
      </c>
      <c r="AS21" s="107" t="s">
        <v>3</v>
      </c>
      <c r="AT21" s="107" t="s">
        <v>3</v>
      </c>
      <c r="AU21" s="107" t="s">
        <v>3</v>
      </c>
      <c r="AV21" s="107" t="s">
        <v>3</v>
      </c>
      <c r="AW21" s="108" t="s">
        <v>3</v>
      </c>
      <c r="AX21" s="108" t="s">
        <v>3</v>
      </c>
      <c r="AY21" s="109" t="s">
        <v>3</v>
      </c>
      <c r="AZ21" s="109" t="s">
        <v>3</v>
      </c>
      <c r="BA21" s="123" t="s">
        <v>3</v>
      </c>
    </row>
    <row r="22" spans="1:53" x14ac:dyDescent="0.25">
      <c r="A22" s="38">
        <v>19</v>
      </c>
      <c r="B22" s="139" t="s">
        <v>74</v>
      </c>
      <c r="C22" s="38" t="s">
        <v>138</v>
      </c>
      <c r="D22" s="38" t="s">
        <v>162</v>
      </c>
      <c r="E22" s="48">
        <v>239.14891499999999</v>
      </c>
      <c r="F22" s="102">
        <v>1.57E-3</v>
      </c>
      <c r="G22" s="102">
        <v>1.601E-3</v>
      </c>
      <c r="H22" s="102">
        <f>(239.1483-E22)</f>
        <v>-6.1499999998204657E-4</v>
      </c>
      <c r="I22" s="103" t="s">
        <v>3</v>
      </c>
      <c r="J22" s="103" t="s">
        <v>3</v>
      </c>
      <c r="K22" s="116">
        <f>239.14799-E22</f>
        <v>-9.2499999999517968E-4</v>
      </c>
      <c r="L22" s="97">
        <f>239.1489-E22</f>
        <v>-1.499999999055035E-5</v>
      </c>
      <c r="M22" s="97">
        <f>(239.1485-E22)</f>
        <v>-4.1499999997540726E-4</v>
      </c>
      <c r="N22" s="97">
        <f>239.149-E22</f>
        <v>8.5000000012769306E-5</v>
      </c>
      <c r="O22" s="97">
        <f>239.1489-E22</f>
        <v>-1.499999999055035E-5</v>
      </c>
      <c r="P22" s="97">
        <f>239.149-E22</f>
        <v>8.5000000012769306E-5</v>
      </c>
      <c r="Q22" s="97">
        <f>239.1492-E22</f>
        <v>2.8500000001940862E-4</v>
      </c>
      <c r="R22" s="97">
        <f>239.1492-E22</f>
        <v>2.8500000001940862E-4</v>
      </c>
      <c r="S22" s="97">
        <f>239.1487-E22</f>
        <v>-2.1499999999718966E-4</v>
      </c>
      <c r="T22" s="97">
        <f>239.1487-E22</f>
        <v>-2.1499999999718966E-4</v>
      </c>
      <c r="U22" s="97">
        <f>239.1488-E22</f>
        <v>-1.1499999999387001E-4</v>
      </c>
      <c r="V22" s="97">
        <f>239.14861-E22</f>
        <v>-3.0499999999733518E-4</v>
      </c>
      <c r="W22" s="101">
        <f>239.149-E22</f>
        <v>8.5000000012769306E-5</v>
      </c>
      <c r="X22" s="101">
        <f>239.149-E22</f>
        <v>8.5000000012769306E-5</v>
      </c>
      <c r="Y22" s="101" t="s">
        <v>3</v>
      </c>
      <c r="Z22" s="98">
        <f>239.1494-E22</f>
        <v>4.8500000002604793E-4</v>
      </c>
      <c r="AA22" s="99">
        <f>239.1489-E22</f>
        <v>-1.499999999055035E-5</v>
      </c>
      <c r="AB22" s="99">
        <f>239.1489-E22</f>
        <v>-1.499999999055035E-5</v>
      </c>
      <c r="AC22" s="100">
        <f>239.1488-E22</f>
        <v>-1.1499999999387001E-4</v>
      </c>
      <c r="AD22" s="100" t="s">
        <v>3</v>
      </c>
      <c r="AE22" s="104">
        <f>239.14892-E22</f>
        <v>5.000000015797923E-6</v>
      </c>
      <c r="AF22" s="104">
        <f>239.14941-E22</f>
        <v>4.9500000000080036E-4</v>
      </c>
      <c r="AG22" s="104">
        <f>239.14895-E22</f>
        <v>3.5000000025320332E-5</v>
      </c>
      <c r="AH22" s="104">
        <f>239.14906-E22</f>
        <v>1.4500000000339242E-4</v>
      </c>
      <c r="AI22" s="105">
        <v>6.87E-4</v>
      </c>
      <c r="AJ22" s="105">
        <v>5.2499999999999997E-4</v>
      </c>
      <c r="AK22" s="105">
        <v>4.06E-4</v>
      </c>
      <c r="AL22" s="105">
        <v>-4.3000000000000002E-5</v>
      </c>
      <c r="AM22" s="105" t="s">
        <v>3</v>
      </c>
      <c r="AN22" s="106" t="s">
        <v>3</v>
      </c>
      <c r="AO22" s="106" t="s">
        <v>3</v>
      </c>
      <c r="AP22" s="106" t="s">
        <v>3</v>
      </c>
      <c r="AQ22" s="106" t="s">
        <v>3</v>
      </c>
      <c r="AR22" s="106" t="s">
        <v>3</v>
      </c>
      <c r="AS22" s="107">
        <f>239.149-239.14891</f>
        <v>9.0000000000145519E-5</v>
      </c>
      <c r="AT22" s="107">
        <f>239.14999-239.14891</f>
        <v>1.0800000000017462E-3</v>
      </c>
      <c r="AU22" s="107">
        <f>239.14751-239.14891</f>
        <v>-1.3999999999896318E-3</v>
      </c>
      <c r="AV22" s="107">
        <f>239.1489-239.14891</f>
        <v>-1.0000000003174137E-5</v>
      </c>
      <c r="AW22" s="108">
        <v>-1.1299999999891952E-4</v>
      </c>
      <c r="AX22" s="108" t="s">
        <v>3</v>
      </c>
      <c r="AY22" s="109">
        <v>-1.1499999999387001E-4</v>
      </c>
      <c r="AZ22" s="109">
        <v>1.0160000000212221E-3</v>
      </c>
      <c r="BA22" s="123" t="s">
        <v>3</v>
      </c>
    </row>
    <row r="23" spans="1:53" x14ac:dyDescent="0.25">
      <c r="A23" s="38">
        <v>20</v>
      </c>
      <c r="B23" s="139" t="s">
        <v>75</v>
      </c>
      <c r="C23" s="38" t="s">
        <v>138</v>
      </c>
      <c r="D23" s="38" t="s">
        <v>163</v>
      </c>
      <c r="E23" s="48">
        <v>300.20167900000001</v>
      </c>
      <c r="F23" s="102">
        <v>-1.206E-3</v>
      </c>
      <c r="G23" s="102">
        <v>-1.206E-3</v>
      </c>
      <c r="H23" s="102">
        <f>(300.2017-E23)</f>
        <v>2.1000000003823516E-5</v>
      </c>
      <c r="I23" s="110" t="s">
        <v>3</v>
      </c>
      <c r="J23" s="103" t="s">
        <v>3</v>
      </c>
      <c r="K23" s="116">
        <f>300.20111-E23</f>
        <v>-5.6899999998449857E-4</v>
      </c>
      <c r="L23" s="97">
        <f>300.2012-E23</f>
        <v>-4.7900000004119647E-4</v>
      </c>
      <c r="M23" s="97">
        <f>(300.2009-E23)</f>
        <v>-7.7900000002273373E-4</v>
      </c>
      <c r="N23" s="97">
        <f>300.20181-E23</f>
        <v>1.3100000001031731E-4</v>
      </c>
      <c r="O23" s="97">
        <f>300.2016-E23</f>
        <v>-7.9000000027917849E-5</v>
      </c>
      <c r="P23" s="97">
        <f>300.2017-E23</f>
        <v>2.1000000003823516E-5</v>
      </c>
      <c r="Q23" s="97">
        <f>300.20139-E23</f>
        <v>-2.8900000000930959E-4</v>
      </c>
      <c r="R23" s="97">
        <f>300.20071-E23</f>
        <v>-9.6899999999777719E-4</v>
      </c>
      <c r="S23" s="97">
        <f>300.20181-E23</f>
        <v>1.3100000001031731E-4</v>
      </c>
      <c r="T23" s="97">
        <f>300.20151-E23</f>
        <v>-1.6900000002806337E-4</v>
      </c>
      <c r="U23" s="97">
        <f>300.20151-E23</f>
        <v>-1.6900000002806337E-4</v>
      </c>
      <c r="V23" s="97">
        <f>300.20111-E23</f>
        <v>-5.6899999998449857E-4</v>
      </c>
      <c r="W23" s="101">
        <f>300.20169-E23</f>
        <v>1.099999997222767E-5</v>
      </c>
      <c r="X23" s="101">
        <f>300.20181-E23</f>
        <v>1.3100000001031731E-4</v>
      </c>
      <c r="Y23" s="101" t="s">
        <v>3</v>
      </c>
      <c r="Z23" s="98">
        <f>300.20251-E23</f>
        <v>8.3100000000513319E-4</v>
      </c>
      <c r="AA23" s="99">
        <f>300.2016-E23</f>
        <v>-7.9000000027917849E-5</v>
      </c>
      <c r="AB23" s="99">
        <f>300.2016-E23</f>
        <v>-7.9000000027917849E-5</v>
      </c>
      <c r="AC23" s="100">
        <f>300.20151-E23</f>
        <v>-1.6900000002806337E-4</v>
      </c>
      <c r="AD23" s="100" t="s">
        <v>3</v>
      </c>
      <c r="AE23" s="104">
        <f>300.20232-E23</f>
        <v>6.409999999732463E-4</v>
      </c>
      <c r="AF23" s="104">
        <f>300.20255-E23</f>
        <v>8.7099999996098632E-4</v>
      </c>
      <c r="AG23" s="104">
        <f>300.20253-E23</f>
        <v>8.5100000001148146E-4</v>
      </c>
      <c r="AH23" s="104">
        <f>300.20211-E23</f>
        <v>4.3099999999185457E-4</v>
      </c>
      <c r="AI23" s="105">
        <v>7.0299999999999996E-4</v>
      </c>
      <c r="AJ23" s="105">
        <v>-1.08E-3</v>
      </c>
      <c r="AK23" s="105">
        <v>3.7399999999999998E-4</v>
      </c>
      <c r="AL23" s="105">
        <v>-5.1699999999999999E-4</v>
      </c>
      <c r="AM23" s="105">
        <v>1.0399999999999999E-4</v>
      </c>
      <c r="AN23" s="106" t="s">
        <v>3</v>
      </c>
      <c r="AO23" s="106" t="s">
        <v>3</v>
      </c>
      <c r="AP23" s="106" t="s">
        <v>3</v>
      </c>
      <c r="AQ23" s="106" t="s">
        <v>3</v>
      </c>
      <c r="AR23" s="106" t="s">
        <v>3</v>
      </c>
      <c r="AS23" s="107">
        <f>300.2034-300.20168</f>
        <v>1.7199999999775173E-3</v>
      </c>
      <c r="AT23" s="107">
        <f>300.2012-300.20168</f>
        <v>-4.8000000003867171E-4</v>
      </c>
      <c r="AU23" s="107">
        <f>300.20129-300.20168</f>
        <v>-3.900000000385262E-4</v>
      </c>
      <c r="AV23" s="107">
        <f>300.20261-300.20168</f>
        <v>9.2999999998255589E-4</v>
      </c>
      <c r="AW23" s="108">
        <v>-1.790000000028158E-4</v>
      </c>
      <c r="AX23" s="108" t="s">
        <v>3</v>
      </c>
      <c r="AY23" s="109">
        <v>2.5999999999999999E-3</v>
      </c>
      <c r="AZ23" s="109" t="s">
        <v>3</v>
      </c>
      <c r="BA23" s="123" t="s">
        <v>3</v>
      </c>
    </row>
    <row r="24" spans="1:53" x14ac:dyDescent="0.25">
      <c r="A24" s="38">
        <v>21</v>
      </c>
      <c r="B24" s="139" t="s">
        <v>76</v>
      </c>
      <c r="C24" s="38" t="s">
        <v>138</v>
      </c>
      <c r="D24" s="38" t="s">
        <v>164</v>
      </c>
      <c r="E24" s="48">
        <v>344.22789299999999</v>
      </c>
      <c r="F24" s="102">
        <v>-9.6900000000000003E-4</v>
      </c>
      <c r="G24" s="102">
        <v>-1.5120000000000001E-3</v>
      </c>
      <c r="H24" s="102">
        <f>(344.22879-E24)</f>
        <v>8.9700000000902946E-4</v>
      </c>
      <c r="I24" s="103" t="s">
        <v>3</v>
      </c>
      <c r="J24" s="103" t="s">
        <v>3</v>
      </c>
      <c r="K24" s="116">
        <f>344.22711-E24</f>
        <v>-7.830000000126347E-4</v>
      </c>
      <c r="L24" s="97">
        <f>344.2279-E24</f>
        <v>6.999999982326699E-6</v>
      </c>
      <c r="M24" s="97">
        <f>(344.2291-E24)</f>
        <v>1.2070000000221626E-3</v>
      </c>
      <c r="N24" s="97">
        <f>344.228-E24</f>
        <v>1.0700000001406806E-4</v>
      </c>
      <c r="O24" s="97">
        <f>344.228-E24</f>
        <v>1.0700000001406806E-4</v>
      </c>
      <c r="P24" s="97">
        <f>344.228-E24</f>
        <v>1.0700000001406806E-4</v>
      </c>
      <c r="Q24" s="97">
        <f>344.22769-E24</f>
        <v>-2.0299999999906504E-4</v>
      </c>
      <c r="R24" s="97">
        <f>344.22809-E24</f>
        <v>1.9700000001421358E-4</v>
      </c>
      <c r="S24" s="97">
        <f>344.2279-E24</f>
        <v>6.999999982326699E-6</v>
      </c>
      <c r="T24" s="97">
        <f>344.22769-E24</f>
        <v>-2.0299999999906504E-4</v>
      </c>
      <c r="U24" s="97">
        <f>344.22791-E24</f>
        <v>1.7000000013922545E-5</v>
      </c>
      <c r="V24" s="97">
        <f>344.22781-E24</f>
        <v>-8.300000001781882E-5</v>
      </c>
      <c r="W24" s="101">
        <f>344.228-E24</f>
        <v>1.0700000001406806E-4</v>
      </c>
      <c r="X24" s="101">
        <f>344.228-E24</f>
        <v>1.0700000001406806E-4</v>
      </c>
      <c r="Y24" s="101">
        <f>344.228-E24</f>
        <v>1.0700000001406806E-4</v>
      </c>
      <c r="Z24" s="98">
        <f>344.22861-E24</f>
        <v>7.1700000000873843E-4</v>
      </c>
      <c r="AA24" s="99">
        <f>344.228-E24</f>
        <v>1.0700000001406806E-4</v>
      </c>
      <c r="AB24" s="99">
        <f>344.22791-E24</f>
        <v>1.7000000013922545E-5</v>
      </c>
      <c r="AC24" s="100">
        <f>344.22781-E24</f>
        <v>-8.300000001781882E-5</v>
      </c>
      <c r="AD24" s="100" t="s">
        <v>3</v>
      </c>
      <c r="AE24" s="104">
        <f>344.228752-E24</f>
        <v>8.589999999912834E-4</v>
      </c>
      <c r="AF24" s="104">
        <f>344.22904-E24</f>
        <v>1.1470000000031177E-3</v>
      </c>
      <c r="AG24" s="104">
        <f>344.22847-E24</f>
        <v>5.7700000002114393E-4</v>
      </c>
      <c r="AH24" s="104">
        <f>344.22866-E24</f>
        <v>7.669999999961874E-4</v>
      </c>
      <c r="AI24" s="105">
        <v>7.9199999999999995E-4</v>
      </c>
      <c r="AJ24" s="105">
        <v>-2.6699999999999998E-4</v>
      </c>
      <c r="AK24" s="105">
        <v>1.008E-3</v>
      </c>
      <c r="AL24" s="105">
        <v>9.2E-5</v>
      </c>
      <c r="AM24" s="105">
        <v>5.0000000000000002E-5</v>
      </c>
      <c r="AN24" s="106" t="s">
        <v>3</v>
      </c>
      <c r="AO24" s="106" t="s">
        <v>3</v>
      </c>
      <c r="AP24" s="106" t="s">
        <v>3</v>
      </c>
      <c r="AQ24" s="106" t="s">
        <v>3</v>
      </c>
      <c r="AR24" s="106" t="s">
        <v>3</v>
      </c>
      <c r="AS24" s="107">
        <f>344.23099-344.22789</f>
        <v>3.1000000000176442E-3</v>
      </c>
      <c r="AT24" s="107">
        <f>344.229-344.22789</f>
        <v>1.1099999999828469E-3</v>
      </c>
      <c r="AU24" s="107">
        <f>344.22891-344.22789</f>
        <v>1.0199999999827014E-3</v>
      </c>
      <c r="AV24" s="107">
        <f>344.22821-344.22789</f>
        <v>3.1999999998788553E-4</v>
      </c>
      <c r="AW24" s="108">
        <v>-4.3299999998680505E-4</v>
      </c>
      <c r="AX24" s="108" t="s">
        <v>3</v>
      </c>
      <c r="AY24" s="109">
        <v>1.1699999998882049E-4</v>
      </c>
      <c r="AZ24" s="109">
        <v>2.3970000000304026E-3</v>
      </c>
      <c r="BA24" s="123" t="s">
        <v>3</v>
      </c>
    </row>
    <row r="25" spans="1:53" x14ac:dyDescent="0.25">
      <c r="A25" s="38">
        <v>22</v>
      </c>
      <c r="B25" s="139" t="s">
        <v>77</v>
      </c>
      <c r="C25" s="38" t="s">
        <v>138</v>
      </c>
      <c r="D25" s="38" t="s">
        <v>165</v>
      </c>
      <c r="E25" s="48">
        <v>388.25410799999997</v>
      </c>
      <c r="F25" s="102">
        <v>3.19E-4</v>
      </c>
      <c r="G25" s="102">
        <v>3.19E-4</v>
      </c>
      <c r="H25" s="102">
        <f>(388.25439-E25)</f>
        <v>2.8200000002698289E-4</v>
      </c>
      <c r="I25" s="103" t="s">
        <v>3</v>
      </c>
      <c r="J25" s="103" t="s">
        <v>3</v>
      </c>
      <c r="K25" s="116">
        <f>388.25241-E25</f>
        <v>-1.6979999999762185E-3</v>
      </c>
      <c r="L25" s="97">
        <f>388.25381-E25</f>
        <v>-2.9799999998658677E-4</v>
      </c>
      <c r="M25" s="97">
        <f>(388.25409-E25)</f>
        <v>-1.7999999954554369E-5</v>
      </c>
      <c r="N25" s="97">
        <f>388.2543-E25</f>
        <v>1.9200000002683737E-4</v>
      </c>
      <c r="O25" s="97">
        <f>388.25381-E25</f>
        <v>-2.9799999998658677E-4</v>
      </c>
      <c r="P25" s="97">
        <f>388.25421-E25</f>
        <v>1.0200000002669185E-4</v>
      </c>
      <c r="Q25" s="97">
        <f>388.254-E25</f>
        <v>-1.0799999995469989E-4</v>
      </c>
      <c r="R25" s="97">
        <f>388.25421-E25</f>
        <v>1.0200000002669185E-4</v>
      </c>
      <c r="S25" s="97">
        <f>388.25369-E25</f>
        <v>-4.1799999996783299E-4</v>
      </c>
      <c r="T25" s="97">
        <f>388.25381-E25</f>
        <v>-2.9799999998658677E-4</v>
      </c>
      <c r="U25" s="97">
        <f>388.25409-E25</f>
        <v>-1.7999999954554369E-5</v>
      </c>
      <c r="V25" s="97">
        <f>388.2543-E25</f>
        <v>1.9200000002683737E-4</v>
      </c>
      <c r="W25" s="101">
        <f>388.2543-E25</f>
        <v>1.9200000002683737E-4</v>
      </c>
      <c r="X25" s="101">
        <f>388.25439-E25</f>
        <v>2.8200000002698289E-4</v>
      </c>
      <c r="Y25" s="101">
        <f>388.2543-E25</f>
        <v>1.9200000002683737E-4</v>
      </c>
      <c r="Z25" s="98">
        <f>388.2547-E25</f>
        <v>5.9200000004011599E-4</v>
      </c>
      <c r="AA25" s="99">
        <f>388.25421-E25</f>
        <v>1.0200000002669185E-4</v>
      </c>
      <c r="AB25" s="99">
        <f>388.25421-E25</f>
        <v>1.0200000002669185E-4</v>
      </c>
      <c r="AC25" s="100">
        <f>388.25391-E25</f>
        <v>-1.9799999995484541E-4</v>
      </c>
      <c r="AD25" s="100">
        <f>388.25391-E25</f>
        <v>-1.9799999995484541E-4</v>
      </c>
      <c r="AE25" s="104">
        <f>388.25484-E25</f>
        <v>7.3200000002771048E-4</v>
      </c>
      <c r="AF25" s="104">
        <f>388.25496-E25</f>
        <v>8.520000000089567E-4</v>
      </c>
      <c r="AG25" s="104">
        <f>388.25461-E25</f>
        <v>5.0200000003997047E-4</v>
      </c>
      <c r="AH25" s="104">
        <f>388.25484-E25</f>
        <v>7.3200000002771048E-4</v>
      </c>
      <c r="AI25" s="105">
        <v>1.8599999999999999E-4</v>
      </c>
      <c r="AJ25" s="105">
        <v>-6.9499999999999998E-4</v>
      </c>
      <c r="AK25" s="105">
        <v>8.5300000000000003E-4</v>
      </c>
      <c r="AL25" s="105">
        <v>-3.3000000000000003E-5</v>
      </c>
      <c r="AM25" s="105">
        <v>1.94E-4</v>
      </c>
      <c r="AN25" s="106" t="s">
        <v>3</v>
      </c>
      <c r="AO25" s="106" t="s">
        <v>3</v>
      </c>
      <c r="AP25" s="106" t="s">
        <v>3</v>
      </c>
      <c r="AQ25" s="106" t="s">
        <v>3</v>
      </c>
      <c r="AR25" s="106" t="s">
        <v>3</v>
      </c>
      <c r="AS25" s="107">
        <f>388.254-388.25411</f>
        <v>-1.1000000000649379E-4</v>
      </c>
      <c r="AT25" s="107">
        <f>388.25241-388.25411</f>
        <v>-1.7000000000280124E-3</v>
      </c>
      <c r="AU25" s="107">
        <f>388.25381-388.25411</f>
        <v>-3.0000000003838068E-4</v>
      </c>
      <c r="AV25" s="107">
        <f>388.2547-388.25411</f>
        <v>5.8999999998832209E-4</v>
      </c>
      <c r="AW25" s="108">
        <v>-6.47999999955573E-4</v>
      </c>
      <c r="AX25" s="108" t="s">
        <v>3</v>
      </c>
      <c r="AY25" s="109">
        <v>-1.1799999998629573E-4</v>
      </c>
      <c r="AZ25" s="109" t="s">
        <v>3</v>
      </c>
      <c r="BA25" s="123" t="s">
        <v>3</v>
      </c>
    </row>
    <row r="26" spans="1:53" x14ac:dyDescent="0.25">
      <c r="A26" s="38">
        <v>23</v>
      </c>
      <c r="B26" s="139" t="s">
        <v>78</v>
      </c>
      <c r="C26" s="38" t="s">
        <v>138</v>
      </c>
      <c r="D26" s="38" t="s">
        <v>166</v>
      </c>
      <c r="E26" s="48">
        <v>432.28032300000001</v>
      </c>
      <c r="F26" s="102">
        <v>1.06E-4</v>
      </c>
      <c r="G26" s="102">
        <v>1.06E-4</v>
      </c>
      <c r="H26" s="102">
        <f>(432.2804-E26)</f>
        <v>7.6999999976123945E-5</v>
      </c>
      <c r="I26" s="103" t="s">
        <v>3</v>
      </c>
      <c r="J26" s="103" t="s">
        <v>3</v>
      </c>
      <c r="K26" s="116">
        <f>432.27969-E26</f>
        <v>-6.3299999999344436E-4</v>
      </c>
      <c r="L26" s="97">
        <f>432.2796-E26</f>
        <v>-7.2299999999358988E-4</v>
      </c>
      <c r="M26" s="97">
        <f>(432.28009-E26)</f>
        <v>-2.3300000003700916E-4</v>
      </c>
      <c r="N26" s="97">
        <f>432.2803-E26</f>
        <v>-2.2999999998774001E-5</v>
      </c>
      <c r="O26" s="97">
        <f>432.28009-E26</f>
        <v>-2.3300000003700916E-4</v>
      </c>
      <c r="P26" s="97">
        <f>432.28009-E26</f>
        <v>-2.3300000003700916E-4</v>
      </c>
      <c r="Q26" s="97">
        <f>432.2807-E26</f>
        <v>3.7700000001450462E-4</v>
      </c>
      <c r="R26" s="97">
        <f>432.28049-E26</f>
        <v>1.6699999997626946E-4</v>
      </c>
      <c r="S26" s="97">
        <f>432.28021-E26</f>
        <v>-1.1299999999891952E-4</v>
      </c>
      <c r="T26" s="97">
        <f>432.28009-E26</f>
        <v>-2.3300000003700916E-4</v>
      </c>
      <c r="U26" s="97">
        <f>432.28-E26</f>
        <v>-3.2300000003715468E-4</v>
      </c>
      <c r="V26" s="97">
        <f>432.28-E26</f>
        <v>-3.2300000003715468E-4</v>
      </c>
      <c r="W26" s="101">
        <f>432.2804-E26</f>
        <v>7.6999999976123945E-5</v>
      </c>
      <c r="X26" s="101">
        <f>432.2803-E26</f>
        <v>-2.2999999998774001E-5</v>
      </c>
      <c r="Y26" s="101">
        <f>432.2804-E26</f>
        <v>7.6999999976123945E-5</v>
      </c>
      <c r="Z26" s="98">
        <f>432.28149-E26</f>
        <v>1.167000000009466E-3</v>
      </c>
      <c r="AA26" s="99">
        <f>432.2804-E26</f>
        <v>7.6999999976123945E-5</v>
      </c>
      <c r="AB26" s="99">
        <f>432.2803-E26</f>
        <v>-2.2999999998774001E-5</v>
      </c>
      <c r="AC26" s="100">
        <f>432.28009-E26</f>
        <v>-2.3300000003700916E-4</v>
      </c>
      <c r="AD26" s="100">
        <f>432.28009-E26</f>
        <v>-2.3300000003700916E-4</v>
      </c>
      <c r="AE26" s="104">
        <f>432.28154-E26</f>
        <v>1.216999999996915E-3</v>
      </c>
      <c r="AF26" s="104">
        <f>432.28163-E26</f>
        <v>1.3069999999970605E-3</v>
      </c>
      <c r="AG26" s="104">
        <f>432.28121-E26</f>
        <v>8.8699999997743362E-4</v>
      </c>
      <c r="AH26" s="104">
        <f>432.28118-E26</f>
        <v>8.5699999999633292E-4</v>
      </c>
      <c r="AI26" s="105">
        <v>-3.1100000000000002E-4</v>
      </c>
      <c r="AJ26" s="105">
        <v>1.05E-4</v>
      </c>
      <c r="AK26" s="105">
        <v>6.2200000000000005E-4</v>
      </c>
      <c r="AL26" s="105">
        <v>-1.8799999999999999E-4</v>
      </c>
      <c r="AM26" s="105">
        <v>-5.3999999999999998E-5</v>
      </c>
      <c r="AN26" s="111">
        <f>432.280233145603-E26</f>
        <v>-8.9854397003819031E-5</v>
      </c>
      <c r="AO26" s="111">
        <f>415.254094204807-415.253774</f>
        <v>3.2020480699657128E-4</v>
      </c>
      <c r="AP26" s="111" t="s">
        <v>3</v>
      </c>
      <c r="AQ26" s="111" t="s">
        <v>3</v>
      </c>
      <c r="AR26" s="111">
        <f>415.253706504405-415.253774</f>
        <v>-6.7495595033051359E-5</v>
      </c>
      <c r="AS26" s="107">
        <f>432.28091-432.28032</f>
        <v>5.8999999998832209E-4</v>
      </c>
      <c r="AT26" s="107">
        <f>432.27991-432.28032</f>
        <v>-4.1000000004487447E-4</v>
      </c>
      <c r="AU26" s="107">
        <f>432.28101-432.28032</f>
        <v>6.8999999996322003E-4</v>
      </c>
      <c r="AV26" s="107">
        <f>432.2796-432.28032</f>
        <v>-7.2000000000116415E-4</v>
      </c>
      <c r="AW26" s="108">
        <v>-6.8300000003773675E-4</v>
      </c>
      <c r="AX26" s="108" t="s">
        <v>3</v>
      </c>
      <c r="AY26" s="109">
        <v>-3.330000000119071E-4</v>
      </c>
      <c r="AZ26" s="109" t="s">
        <v>3</v>
      </c>
      <c r="BA26" s="123" t="s">
        <v>3</v>
      </c>
    </row>
    <row r="27" spans="1:53" x14ac:dyDescent="0.25">
      <c r="A27" s="38">
        <v>24</v>
      </c>
      <c r="B27" s="139" t="s">
        <v>79</v>
      </c>
      <c r="C27" s="38" t="s">
        <v>138</v>
      </c>
      <c r="D27" s="38" t="s">
        <v>167</v>
      </c>
      <c r="E27" s="48">
        <v>476.30653799999999</v>
      </c>
      <c r="F27" s="102">
        <v>-2.5500000000000002E-3</v>
      </c>
      <c r="G27" s="102">
        <v>-2.5500000000000002E-3</v>
      </c>
      <c r="H27" s="102">
        <f>(476.30789-E27)</f>
        <v>1.3519999999971333E-3</v>
      </c>
      <c r="I27" s="103" t="s">
        <v>3</v>
      </c>
      <c r="J27" s="103" t="s">
        <v>3</v>
      </c>
      <c r="K27" s="116">
        <f>476.30499-E27</f>
        <v>-1.5480000000138716E-3</v>
      </c>
      <c r="L27" s="97">
        <f>476.30551-E27</f>
        <v>-1.0279999999625034E-3</v>
      </c>
      <c r="M27" s="97">
        <f>(476.30609-E27)</f>
        <v>-4.4800000000577711E-4</v>
      </c>
      <c r="N27" s="97">
        <f>476.30609-E27</f>
        <v>-4.4800000000577711E-4</v>
      </c>
      <c r="O27" s="97">
        <f>476.306-E27</f>
        <v>-5.3800000000592263E-4</v>
      </c>
      <c r="P27" s="97">
        <f>476.3063-E27</f>
        <v>-2.3799999996754195E-4</v>
      </c>
      <c r="Q27" s="97">
        <f>476.30649-E27</f>
        <v>-4.7999999992498488E-5</v>
      </c>
      <c r="R27" s="97">
        <f>476.3064-E27</f>
        <v>-1.3799999999264401E-4</v>
      </c>
      <c r="S27" s="97">
        <f>476.30609-E27</f>
        <v>-4.4800000000577711E-4</v>
      </c>
      <c r="T27" s="97">
        <f>476.30621-E27</f>
        <v>-3.2799999996768747E-4</v>
      </c>
      <c r="U27" s="97">
        <f>476.30621-E27</f>
        <v>-3.2799999996768747E-4</v>
      </c>
      <c r="V27" s="97">
        <f>476.30609-E27</f>
        <v>-4.4800000000577711E-4</v>
      </c>
      <c r="W27" s="101">
        <f>476.3067-E27</f>
        <v>1.6199999998889325E-4</v>
      </c>
      <c r="X27" s="101">
        <f>476.30661-E27</f>
        <v>7.1999999988747732E-5</v>
      </c>
      <c r="Y27" s="101">
        <f>476.3067-E27</f>
        <v>1.6199999998889325E-4</v>
      </c>
      <c r="Z27" s="98">
        <f>476.3071-E27</f>
        <v>5.6200000000217187E-4</v>
      </c>
      <c r="AA27" s="99">
        <f>476.30649-E27</f>
        <v>-4.7999999992498488E-5</v>
      </c>
      <c r="AB27" s="99">
        <f>476.30649-E27</f>
        <v>-4.7999999992498488E-5</v>
      </c>
      <c r="AC27" s="100">
        <f>476.30621-E27</f>
        <v>-3.2799999996768747E-4</v>
      </c>
      <c r="AD27" s="100">
        <f>476.30649-E27</f>
        <v>-4.7999999992498488E-5</v>
      </c>
      <c r="AE27" s="104">
        <f>476.30818-E27</f>
        <v>1.6420000000039181E-3</v>
      </c>
      <c r="AF27" s="104">
        <f>476.308-E27</f>
        <v>1.4620000000036271E-3</v>
      </c>
      <c r="AG27" s="104">
        <f>476.30735-E27</f>
        <v>8.1199999999626016E-4</v>
      </c>
      <c r="AH27" s="104">
        <f>476.30703-E27</f>
        <v>4.9200000000837463E-4</v>
      </c>
      <c r="AI27" s="105">
        <v>1.08E-4</v>
      </c>
      <c r="AJ27" s="105">
        <v>-1.95E-4</v>
      </c>
      <c r="AK27" s="105">
        <v>9.7999999999999997E-5</v>
      </c>
      <c r="AL27" s="105">
        <v>-9.0000000000000006E-5</v>
      </c>
      <c r="AM27" s="105">
        <v>1.1900000000000001E-4</v>
      </c>
      <c r="AN27" s="111">
        <f>476.306962049886-E27</f>
        <v>4.2404988602129379E-4</v>
      </c>
      <c r="AO27" s="111" t="s">
        <v>3</v>
      </c>
      <c r="AP27" s="111" t="s">
        <v>3</v>
      </c>
      <c r="AQ27" s="111" t="s">
        <v>3</v>
      </c>
      <c r="AR27" s="111">
        <f>459.281262016758-459.279989</f>
        <v>1.2730167579775298E-3</v>
      </c>
      <c r="AS27" s="107">
        <f>476.30771-476.30654</f>
        <v>1.1700000000018917E-3</v>
      </c>
      <c r="AT27" s="107">
        <f>476.30429-476.30654</f>
        <v>-2.250000000003638E-3</v>
      </c>
      <c r="AU27" s="107">
        <f>476.30429-476.30654</f>
        <v>-2.250000000003638E-3</v>
      </c>
      <c r="AV27" s="107">
        <f>476.30719-476.30654</f>
        <v>6.5000000000736691E-4</v>
      </c>
      <c r="AW27" s="108">
        <v>-6.2800000000606815E-4</v>
      </c>
      <c r="AX27" s="108" t="s">
        <v>3</v>
      </c>
      <c r="AY27" s="109">
        <v>2.2000000001298758E-5</v>
      </c>
      <c r="AZ27" s="109" t="s">
        <v>3</v>
      </c>
      <c r="BA27" s="123" t="s">
        <v>3</v>
      </c>
    </row>
    <row r="28" spans="1:53" x14ac:dyDescent="0.25">
      <c r="A28" s="38">
        <v>25</v>
      </c>
      <c r="B28" s="139" t="s">
        <v>80</v>
      </c>
      <c r="C28" s="38" t="s">
        <v>138</v>
      </c>
      <c r="D28" s="38" t="s">
        <v>168</v>
      </c>
      <c r="E28" s="48">
        <v>520.33275200000003</v>
      </c>
      <c r="F28" s="102">
        <v>5.6300000000000002E-4</v>
      </c>
      <c r="G28" s="102">
        <v>5.6300000000000002E-4</v>
      </c>
      <c r="H28" s="102">
        <f>(520.33331-E28)</f>
        <v>5.5799999995542748E-4</v>
      </c>
      <c r="I28" s="103" t="s">
        <v>3</v>
      </c>
      <c r="J28" s="103" t="s">
        <v>3</v>
      </c>
      <c r="K28" s="116">
        <f>520.33209-E28</f>
        <v>-6.6200000003391324E-4</v>
      </c>
      <c r="L28" s="97">
        <f>520.33142-E28</f>
        <v>-1.3320000000476284E-3</v>
      </c>
      <c r="M28" s="97">
        <f>(520.33228-E28)</f>
        <v>-4.7200000005886977E-4</v>
      </c>
      <c r="N28" s="97">
        <f>520.33221-E28</f>
        <v>-5.419999999958236E-4</v>
      </c>
      <c r="O28" s="97">
        <f>520.33197-E28</f>
        <v>-7.8200000007200288E-4</v>
      </c>
      <c r="P28" s="97">
        <f>520.33252-E28</f>
        <v>-2.319999999826905E-4</v>
      </c>
      <c r="Q28" s="97">
        <f>520.33301-E28</f>
        <v>2.5799999991704681E-4</v>
      </c>
      <c r="R28" s="97">
        <f>520.33252-E28</f>
        <v>-2.319999999826905E-4</v>
      </c>
      <c r="S28" s="97">
        <f>520.33197-E28</f>
        <v>-7.8200000007200288E-4</v>
      </c>
      <c r="T28" s="97">
        <f>520.33142-E28</f>
        <v>-1.3320000000476284E-3</v>
      </c>
      <c r="U28" s="97">
        <f>520.33228-E28</f>
        <v>-4.7200000005886977E-4</v>
      </c>
      <c r="V28" s="97">
        <f>520.33209-E28</f>
        <v>-6.6200000003391324E-4</v>
      </c>
      <c r="W28" s="101">
        <f>520.33289-E28</f>
        <v>1.3799999999264401E-4</v>
      </c>
      <c r="X28" s="101">
        <f>520.33289-E28</f>
        <v>1.3799999999264401E-4</v>
      </c>
      <c r="Y28" s="101">
        <f>520.33301-E28</f>
        <v>2.5799999991704681E-4</v>
      </c>
      <c r="Z28" s="98">
        <f>520.33362-E28</f>
        <v>8.6799999996856059E-4</v>
      </c>
      <c r="AA28" s="99">
        <f>520.33289-E28</f>
        <v>1.3799999999264401E-4</v>
      </c>
      <c r="AB28" s="99">
        <f>520.33258-E28</f>
        <v>-1.720000000204891E-4</v>
      </c>
      <c r="AC28" s="100">
        <f>520.33252-E28</f>
        <v>-2.319999999826905E-4</v>
      </c>
      <c r="AD28" s="100">
        <f>520.33252-E28</f>
        <v>-2.319999999826905E-4</v>
      </c>
      <c r="AE28" s="104">
        <f>520.33402-E28</f>
        <v>1.2679999999818392E-3</v>
      </c>
      <c r="AF28" s="104">
        <f>520.33431-E28</f>
        <v>1.5579999999317806E-3</v>
      </c>
      <c r="AG28" s="104">
        <f>520.33313-E28</f>
        <v>3.7799999995513645E-4</v>
      </c>
      <c r="AH28" s="104">
        <f>520.33343-E28</f>
        <v>6.7799999999351712E-4</v>
      </c>
      <c r="AI28" s="105">
        <v>4.6299999999999998E-4</v>
      </c>
      <c r="AJ28" s="105">
        <v>-4.0200000000000001E-4</v>
      </c>
      <c r="AK28" s="105">
        <v>1.371E-3</v>
      </c>
      <c r="AL28" s="105">
        <v>4.5399999999999998E-4</v>
      </c>
      <c r="AM28" s="105">
        <v>6.9899999999999997E-4</v>
      </c>
      <c r="AN28" s="111">
        <f>520.332811759548-E28</f>
        <v>5.9759547980320349E-5</v>
      </c>
      <c r="AO28" s="111" t="s">
        <v>3</v>
      </c>
      <c r="AP28" s="111" t="s">
        <v>3</v>
      </c>
      <c r="AQ28" s="111" t="s">
        <v>3</v>
      </c>
      <c r="AR28" s="111">
        <f>503.306925822277-503.306203</f>
        <v>7.2282227699815849E-4</v>
      </c>
      <c r="AS28" s="107">
        <f>520.33331-520.33275</f>
        <v>5.5999999995037797E-4</v>
      </c>
      <c r="AT28" s="107">
        <f>520.33069-520.33275</f>
        <v>-2.0600000000285945E-3</v>
      </c>
      <c r="AU28" s="107">
        <f>520.32928-520.33275</f>
        <v>-3.4699999999929787E-3</v>
      </c>
      <c r="AV28" s="107">
        <f>520.33392-520.33275</f>
        <v>1.1700000000018917E-3</v>
      </c>
      <c r="AW28" s="108">
        <v>-8.0200000002150773E-4</v>
      </c>
      <c r="AX28" s="108" t="s">
        <v>3</v>
      </c>
      <c r="AY28" s="109">
        <v>1.4799999996739643E-4</v>
      </c>
      <c r="AZ28" s="109" t="s">
        <v>3</v>
      </c>
      <c r="BA28" s="123" t="s">
        <v>3</v>
      </c>
    </row>
    <row r="29" spans="1:53" x14ac:dyDescent="0.25">
      <c r="A29" s="38">
        <v>26</v>
      </c>
      <c r="B29" s="139" t="s">
        <v>81</v>
      </c>
      <c r="C29" s="38" t="s">
        <v>138</v>
      </c>
      <c r="D29" s="38" t="s">
        <v>169</v>
      </c>
      <c r="E29" s="48">
        <v>564.35896700000001</v>
      </c>
      <c r="F29" s="102">
        <f>(564.35828-E29)</f>
        <v>-6.8699999997079431E-4</v>
      </c>
      <c r="G29" s="102">
        <f>(564.35828-E29)</f>
        <v>-6.8699999997079431E-4</v>
      </c>
      <c r="H29" s="102">
        <f>(564.35828-E29)</f>
        <v>-6.8699999997079431E-4</v>
      </c>
      <c r="I29" s="103" t="s">
        <v>3</v>
      </c>
      <c r="J29" s="103" t="s">
        <v>3</v>
      </c>
      <c r="K29" s="116">
        <f>564.35669-E29</f>
        <v>-2.2770000000491564E-3</v>
      </c>
      <c r="L29" s="97">
        <f>564.35748-E29</f>
        <v>-1.4869999999973516E-3</v>
      </c>
      <c r="M29" s="97">
        <f>(564.35852-E29)</f>
        <v>-4.4700000000830187E-4</v>
      </c>
      <c r="N29" s="97">
        <f>564.35852-E29</f>
        <v>-4.4700000000830187E-4</v>
      </c>
      <c r="O29" s="97">
        <f>564.35822-E29</f>
        <v>-7.4700000004668254E-4</v>
      </c>
      <c r="P29" s="97">
        <f>564.3573-E29</f>
        <v>-1.6669999999976426E-3</v>
      </c>
      <c r="Q29" s="97">
        <f>564.35919-E29</f>
        <v>2.2300000000541331E-4</v>
      </c>
      <c r="R29" s="97">
        <f>564.35773-E29</f>
        <v>-1.2370000000601067E-3</v>
      </c>
      <c r="S29" s="97">
        <f>564.35822-E29</f>
        <v>-7.4700000004668254E-4</v>
      </c>
      <c r="T29" s="97">
        <f>564.35748-E29</f>
        <v>-1.4869999999973516E-3</v>
      </c>
      <c r="U29" s="97">
        <f>564.35852-E29</f>
        <v>-4.4700000000830187E-4</v>
      </c>
      <c r="V29" s="97">
        <f>564.35858-E29</f>
        <v>-3.8700000004610047E-4</v>
      </c>
      <c r="W29" s="101">
        <f>564.35938-E29</f>
        <v>4.1299999998045678E-4</v>
      </c>
      <c r="X29" s="101">
        <f>564.35931-E29</f>
        <v>3.4300000004350295E-4</v>
      </c>
      <c r="Y29" s="101">
        <f>564.35938-E29</f>
        <v>4.1299999998045678E-4</v>
      </c>
      <c r="Z29" s="98">
        <f>564.35968-E29</f>
        <v>7.1300000001883745E-4</v>
      </c>
      <c r="AA29" s="99">
        <f>564.35931-E29</f>
        <v>3.4300000004350295E-4</v>
      </c>
      <c r="AB29" s="99">
        <f>564.35901-E29</f>
        <v>4.3000000005122274E-5</v>
      </c>
      <c r="AC29" s="100">
        <f>564.3587-E29</f>
        <v>-2.6700000000801083E-4</v>
      </c>
      <c r="AD29" s="100">
        <f>564.3587-E29</f>
        <v>-2.6700000000801083E-4</v>
      </c>
      <c r="AE29" s="104">
        <f>564.36057-E29</f>
        <v>1.6030000000455402E-3</v>
      </c>
      <c r="AF29" s="104">
        <f>564.36096-E29</f>
        <v>1.9929999999703796E-3</v>
      </c>
      <c r="AG29" s="104">
        <f>564.35948-E29</f>
        <v>5.1299999995535472E-4</v>
      </c>
      <c r="AH29" s="104">
        <f>564.35892-E29</f>
        <v>-4.6999999995023245E-5</v>
      </c>
      <c r="AI29" s="105">
        <v>4.0000000000000002E-4</v>
      </c>
      <c r="AJ29" s="105">
        <v>-9.1500000000000001E-4</v>
      </c>
      <c r="AK29" s="105">
        <v>2.127E-3</v>
      </c>
      <c r="AL29" s="105">
        <v>3.4400000000000001E-4</v>
      </c>
      <c r="AM29" s="105">
        <v>1.833E-3</v>
      </c>
      <c r="AN29" s="111">
        <f>564.359179591175-E29</f>
        <v>2.1259117499994318E-4</v>
      </c>
      <c r="AO29" s="111" t="s">
        <v>3</v>
      </c>
      <c r="AP29" s="111" t="s">
        <v>3</v>
      </c>
      <c r="AQ29" s="111" t="s">
        <v>3</v>
      </c>
      <c r="AR29" s="111" t="s">
        <v>3</v>
      </c>
      <c r="AS29" s="107">
        <f>564.35577-564.35897</f>
        <v>-3.1999999999925421E-3</v>
      </c>
      <c r="AT29" s="107">
        <f>564.36072-564.35897</f>
        <v>1.7500000000154614E-3</v>
      </c>
      <c r="AU29" s="107">
        <f>564.35779-564.35897</f>
        <v>-1.1799999999766442E-3</v>
      </c>
      <c r="AV29" s="107">
        <f>564.35773-564.35897</f>
        <v>-1.2400000000525324E-3</v>
      </c>
      <c r="AW29" s="108">
        <v>-1.7370000000482833E-3</v>
      </c>
      <c r="AX29" s="108" t="s">
        <v>3</v>
      </c>
      <c r="AY29" s="109">
        <v>-2.8699999995751568E-4</v>
      </c>
      <c r="AZ29" s="109">
        <v>4.1330000000243672E-3</v>
      </c>
      <c r="BA29" s="123" t="s">
        <v>3</v>
      </c>
    </row>
    <row r="30" spans="1:53" x14ac:dyDescent="0.25">
      <c r="A30" s="38">
        <v>27</v>
      </c>
      <c r="B30" s="139" t="s">
        <v>82</v>
      </c>
      <c r="C30" s="38" t="s">
        <v>138</v>
      </c>
      <c r="D30" s="38" t="s">
        <v>170</v>
      </c>
      <c r="E30" s="48">
        <v>608.38518199999999</v>
      </c>
      <c r="F30" s="102">
        <f>(608.38232-E30)</f>
        <v>-2.8619999999364154E-3</v>
      </c>
      <c r="G30" s="102">
        <f>(608.38232-E30)</f>
        <v>-2.8619999999364154E-3</v>
      </c>
      <c r="H30" s="102">
        <f>(608.38232-E30)</f>
        <v>-2.8619999999364154E-3</v>
      </c>
      <c r="I30" s="103" t="s">
        <v>3</v>
      </c>
      <c r="J30" s="103" t="s">
        <v>3</v>
      </c>
      <c r="K30" s="116">
        <f>608.38312-E30</f>
        <v>-2.062000000023545E-3</v>
      </c>
      <c r="L30" s="97">
        <f>608.38373-E30</f>
        <v>-1.4519999999720312E-3</v>
      </c>
      <c r="M30" s="97">
        <f>(608.38452-E30)</f>
        <v>-6.6200000003391324E-4</v>
      </c>
      <c r="N30" s="97">
        <f>608.3847-E30</f>
        <v>-4.820000000336222E-4</v>
      </c>
      <c r="O30" s="97">
        <f>608.38428-E30</f>
        <v>-9.0199999999640568E-4</v>
      </c>
      <c r="P30" s="97">
        <f>608.38452-E30</f>
        <v>-6.6200000003391324E-4</v>
      </c>
      <c r="Q30" s="97">
        <f>608.38538-E30</f>
        <v>1.9800000006853224E-4</v>
      </c>
      <c r="R30" s="97">
        <f>608.38489-E30</f>
        <v>-2.919999999448919E-4</v>
      </c>
      <c r="S30" s="97">
        <f>608.38428-E30</f>
        <v>-9.0199999999640568E-4</v>
      </c>
      <c r="T30" s="97">
        <f>608.38342-E30</f>
        <v>-1.7619999999851643E-3</v>
      </c>
      <c r="U30" s="97">
        <f>608.38312-E30</f>
        <v>-2.062000000023545E-3</v>
      </c>
      <c r="V30" s="97">
        <f>608.38483-E30</f>
        <v>-3.5200000002078013E-4</v>
      </c>
      <c r="W30" s="101">
        <f>608.38562-E30</f>
        <v>4.3800000003102468E-4</v>
      </c>
      <c r="X30" s="101">
        <f>608.38562-E30</f>
        <v>4.3800000003102468E-4</v>
      </c>
      <c r="Y30" s="101">
        <f>608.3847-E30</f>
        <v>-4.820000000336222E-4</v>
      </c>
      <c r="Z30" s="98">
        <f>608.3852-E30</f>
        <v>1.8000000068241206E-5</v>
      </c>
      <c r="AA30" s="99">
        <f>608.38507-E30</f>
        <v>-1.1199999994460086E-4</v>
      </c>
      <c r="AB30" s="99">
        <f>608.38599-E30</f>
        <v>8.0800000000635919E-4</v>
      </c>
      <c r="AC30" s="100">
        <f>608.38489-E30</f>
        <v>-2.919999999448919E-4</v>
      </c>
      <c r="AD30" s="100" t="s">
        <v>3</v>
      </c>
      <c r="AE30" s="104">
        <f>608.38655-E30</f>
        <v>1.368000000070424E-3</v>
      </c>
      <c r="AF30" s="104">
        <f>608.38738-E30</f>
        <v>2.1980000000212385E-3</v>
      </c>
      <c r="AG30" s="104">
        <f>608.38625-E30</f>
        <v>1.0680000000320433E-3</v>
      </c>
      <c r="AH30" s="104">
        <f>608.38611-E30</f>
        <v>9.2800000004444883E-4</v>
      </c>
      <c r="AI30" s="105">
        <v>1.688E-3</v>
      </c>
      <c r="AJ30" s="105">
        <v>-1.183E-3</v>
      </c>
      <c r="AK30" s="105">
        <v>2.5709999999999999E-3</v>
      </c>
      <c r="AL30" s="105">
        <v>2.0000000000000002E-5</v>
      </c>
      <c r="AM30" s="105">
        <v>9.6100000000000005E-4</v>
      </c>
      <c r="AN30" s="111">
        <f>608.385312241485-E30</f>
        <v>1.3024148506701749E-4</v>
      </c>
      <c r="AO30" s="111">
        <f>608.38443309703-E30</f>
        <v>-7.489029700309402E-4</v>
      </c>
      <c r="AP30" s="111">
        <f>608.385206038521-E30</f>
        <v>2.4038521019065229E-5</v>
      </c>
      <c r="AQ30" s="111">
        <f>608.384931093273-E30</f>
        <v>-2.5090672693295346E-4</v>
      </c>
      <c r="AR30" s="111">
        <f>608.385995757208-E30</f>
        <v>8.1375720799314877E-4</v>
      </c>
      <c r="AS30" s="107">
        <f>608.38953-608.38518</f>
        <v>4.350000000044929E-3</v>
      </c>
      <c r="AT30" s="107">
        <f>608.3819-608.38518</f>
        <v>-3.2800000000179352E-3</v>
      </c>
      <c r="AU30" s="107">
        <f>608.3847-608.38518</f>
        <v>-4.8000000003867171E-4</v>
      </c>
      <c r="AV30" s="107">
        <f>608.38562-608.38518</f>
        <v>4.4000000002597517E-4</v>
      </c>
      <c r="AW30" s="108" t="s">
        <v>3</v>
      </c>
      <c r="AX30" s="108" t="s">
        <v>3</v>
      </c>
      <c r="AY30" s="109" t="s">
        <v>3</v>
      </c>
      <c r="AZ30" s="109" t="s">
        <v>3</v>
      </c>
      <c r="BA30" s="123" t="s">
        <v>3</v>
      </c>
    </row>
    <row r="31" spans="1:53" x14ac:dyDescent="0.25">
      <c r="A31" s="38">
        <v>28</v>
      </c>
      <c r="B31" s="139" t="s">
        <v>83</v>
      </c>
      <c r="C31" s="38" t="s">
        <v>138</v>
      </c>
      <c r="D31" s="38" t="s">
        <v>171</v>
      </c>
      <c r="E31" s="48">
        <v>652.41139699999997</v>
      </c>
      <c r="F31" s="102">
        <f>(652.40833-E31)</f>
        <v>-3.0669999999872744E-3</v>
      </c>
      <c r="G31" s="102">
        <f>(652.40833-E31)</f>
        <v>-3.0669999999872744E-3</v>
      </c>
      <c r="H31" s="102">
        <f>(652.40833-E31)</f>
        <v>-3.0669999999872744E-3</v>
      </c>
      <c r="I31" s="103" t="s">
        <v>3</v>
      </c>
      <c r="J31" s="103" t="s">
        <v>3</v>
      </c>
      <c r="K31" s="116">
        <f>652.409-E31</f>
        <v>-2.3969999999735592E-3</v>
      </c>
      <c r="L31" s="97">
        <f>652.41028-E31</f>
        <v>-1.117000000022017E-3</v>
      </c>
      <c r="M31" s="97">
        <f>(652.41052-E31)</f>
        <v>-8.7699999994583777E-4</v>
      </c>
      <c r="N31" s="97">
        <f>652.41083-E31</f>
        <v>-5.6699999993270467E-4</v>
      </c>
      <c r="O31" s="97">
        <f>652.41058-E31</f>
        <v>-8.1699999998363637E-4</v>
      </c>
      <c r="P31" s="97">
        <f>652.41107-E31</f>
        <v>-3.2699999997021223E-4</v>
      </c>
      <c r="Q31" s="97">
        <f>652.41193-E31</f>
        <v>5.3300000001854642E-4</v>
      </c>
      <c r="R31" s="97">
        <f>652.41083-E31</f>
        <v>-5.6699999993270467E-4</v>
      </c>
      <c r="S31" s="97">
        <f>652.41058-E31</f>
        <v>-8.1699999998363637E-4</v>
      </c>
      <c r="T31" s="97">
        <f>652.40997-E31</f>
        <v>-1.4269999999214633E-3</v>
      </c>
      <c r="U31" s="97">
        <f>652.40948-E31</f>
        <v>-1.9169999999348875E-3</v>
      </c>
      <c r="V31" s="97">
        <f>652.40942-E31</f>
        <v>-1.9770000000107757E-3</v>
      </c>
      <c r="W31" s="101">
        <f>652.41168-E31</f>
        <v>2.8300000008130155E-4</v>
      </c>
      <c r="X31" s="101">
        <f>652.41162-E31</f>
        <v>2.2300000000541331E-4</v>
      </c>
      <c r="Y31" s="101" t="s">
        <v>3</v>
      </c>
      <c r="Z31" s="98">
        <f>652.41321-E31</f>
        <v>1.8130000000837754E-3</v>
      </c>
      <c r="AA31" s="99">
        <f>652.4118-E31</f>
        <v>4.0300000000570435E-4</v>
      </c>
      <c r="AB31" s="99">
        <f>652.41107-E31</f>
        <v>-3.2699999997021223E-4</v>
      </c>
      <c r="AC31" s="100">
        <f>652.41132-E31</f>
        <v>-7.6999999919280526E-5</v>
      </c>
      <c r="AD31" s="100" t="s">
        <v>3</v>
      </c>
      <c r="AE31" s="104">
        <f>652.41322-E31</f>
        <v>1.8230000000585278E-3</v>
      </c>
      <c r="AF31" s="104">
        <f>652.41335-E31</f>
        <v>1.9530000000713699E-3</v>
      </c>
      <c r="AG31" s="104">
        <f>652.41276-E31</f>
        <v>1.3630000000830478E-3</v>
      </c>
      <c r="AH31" s="104">
        <f>652.41307-E31</f>
        <v>1.672999999982494E-3</v>
      </c>
      <c r="AI31" s="105">
        <v>1.0280000000000001E-3</v>
      </c>
      <c r="AJ31" s="105">
        <v>-5.0500000000000002E-4</v>
      </c>
      <c r="AK31" s="105">
        <v>1.325E-3</v>
      </c>
      <c r="AL31" s="105">
        <v>-7.3999999999999999E-4</v>
      </c>
      <c r="AM31" s="105">
        <v>-1.4159999999999999E-3</v>
      </c>
      <c r="AN31" s="111">
        <f>652.411682326727-E31</f>
        <v>2.8532672706660378E-4</v>
      </c>
      <c r="AO31" s="111" t="s">
        <v>3</v>
      </c>
      <c r="AP31" s="111" t="s">
        <v>3</v>
      </c>
      <c r="AQ31" s="111" t="s">
        <v>3</v>
      </c>
      <c r="AR31" s="111" t="s">
        <v>3</v>
      </c>
      <c r="AS31" s="107">
        <f>652.4079-652.4114</f>
        <v>-3.499999999917236E-3</v>
      </c>
      <c r="AT31" s="107">
        <f>652.40863-652.4114</f>
        <v>-2.7699999999413194E-3</v>
      </c>
      <c r="AU31" s="107">
        <f>652.41321-652.4114</f>
        <v>1.8100000000913496E-3</v>
      </c>
      <c r="AV31" s="107">
        <f>652.40973-652.4114</f>
        <v>-1.6699999999900683E-3</v>
      </c>
      <c r="AW31" s="108">
        <v>-2.5669999999990978E-3</v>
      </c>
      <c r="AX31" s="108" t="s">
        <v>3</v>
      </c>
      <c r="AY31" s="109" t="s">
        <v>3</v>
      </c>
      <c r="AZ31" s="109" t="s">
        <v>3</v>
      </c>
      <c r="BA31" s="123" t="s">
        <v>3</v>
      </c>
    </row>
    <row r="32" spans="1:53" x14ac:dyDescent="0.25">
      <c r="A32" s="38">
        <v>29</v>
      </c>
      <c r="B32" s="139" t="s">
        <v>84</v>
      </c>
      <c r="C32" s="38" t="s">
        <v>138</v>
      </c>
      <c r="D32" s="38" t="s">
        <v>172</v>
      </c>
      <c r="E32" s="48">
        <v>696.43761099999995</v>
      </c>
      <c r="F32" s="102">
        <f>(696.43707-E32)</f>
        <v>-5.4099999999834836E-4</v>
      </c>
      <c r="G32" s="102">
        <f>(696.43707-E32)</f>
        <v>-5.4099999999834836E-4</v>
      </c>
      <c r="H32" s="102">
        <f>(696.43707-E32)</f>
        <v>-5.4099999999834836E-4</v>
      </c>
      <c r="I32" s="103" t="s">
        <v>3</v>
      </c>
      <c r="J32" s="103" t="s">
        <v>3</v>
      </c>
      <c r="K32" s="116" t="s">
        <v>3</v>
      </c>
      <c r="L32" s="97">
        <f>696.43512-E32</f>
        <v>-2.4909999999636057E-3</v>
      </c>
      <c r="M32" s="97">
        <f>(696.43597-E32)</f>
        <v>-1.6409999999495994E-3</v>
      </c>
      <c r="N32" s="97">
        <f>696.43628-E32</f>
        <v>-1.3309999999364663E-3</v>
      </c>
      <c r="O32" s="97">
        <f>696.43701-E32</f>
        <v>-6.0099999996054976E-4</v>
      </c>
      <c r="P32" s="97">
        <f>696.43738-E32</f>
        <v>-2.3099999998521525E-4</v>
      </c>
      <c r="Q32" s="97">
        <f>696.4375-E32</f>
        <v>-1.1099999994712562E-4</v>
      </c>
      <c r="R32" s="97">
        <f>696.43793-E32</f>
        <v>3.1900000010409713E-4</v>
      </c>
      <c r="S32" s="97">
        <f>696.43707-E32</f>
        <v>-5.4099999999834836E-4</v>
      </c>
      <c r="T32" s="97">
        <f>696.43628-E32</f>
        <v>-1.3309999999364663E-3</v>
      </c>
      <c r="U32" s="97">
        <f>696.43597-E32</f>
        <v>-1.6409999999495994E-3</v>
      </c>
      <c r="V32" s="97">
        <f>696.43573-E32</f>
        <v>-1.8809999999120919E-3</v>
      </c>
      <c r="W32" s="101">
        <f>696.43817-E32</f>
        <v>5.5900000006658956E-4</v>
      </c>
      <c r="X32" s="101">
        <f>696.43793-E32</f>
        <v>3.1900000010409713E-4</v>
      </c>
      <c r="Y32" s="101" t="s">
        <v>3</v>
      </c>
      <c r="Z32" s="98">
        <f>696.43848-E32</f>
        <v>8.6900000007972267E-4</v>
      </c>
      <c r="AA32" s="99">
        <f>696.43799-E32</f>
        <v>3.7900000006629853E-4</v>
      </c>
      <c r="AB32" s="99">
        <f>696.43793-E32</f>
        <v>3.1900000010409713E-4</v>
      </c>
      <c r="AC32" s="100">
        <f>696.43738-E32</f>
        <v>-2.3099999998521525E-4</v>
      </c>
      <c r="AD32" s="100" t="s">
        <v>3</v>
      </c>
      <c r="AE32" s="104">
        <f>696.43956-E32</f>
        <v>1.9490000000814689E-3</v>
      </c>
      <c r="AF32" s="104">
        <f>696.44007-E32</f>
        <v>2.4590000000443979E-3</v>
      </c>
      <c r="AG32" s="104">
        <f>696.43858-E32</f>
        <v>9.6900000005462061E-4</v>
      </c>
      <c r="AH32" s="104">
        <f>696.43684-E32</f>
        <v>-7.7099999998608837E-4</v>
      </c>
      <c r="AI32" s="105">
        <v>7.54E-4</v>
      </c>
      <c r="AJ32" s="105">
        <v>-1.2899999999999999E-4</v>
      </c>
      <c r="AK32" s="105">
        <v>-4.7600000000000002E-4</v>
      </c>
      <c r="AL32" s="105">
        <v>-2.5399999999999999E-4</v>
      </c>
      <c r="AM32" s="105" t="s">
        <v>3</v>
      </c>
      <c r="AN32" s="111">
        <f>696.437687336225-E32</f>
        <v>7.6336225106388156E-5</v>
      </c>
      <c r="AO32" s="111" t="s">
        <v>3</v>
      </c>
      <c r="AP32" s="111" t="s">
        <v>3</v>
      </c>
      <c r="AQ32" s="111" t="s">
        <v>3</v>
      </c>
      <c r="AR32" s="111" t="s">
        <v>3</v>
      </c>
      <c r="AS32" s="107">
        <f>696.43982-696.43761</f>
        <v>2.2100000001046283E-3</v>
      </c>
      <c r="AT32" s="107" t="s">
        <v>3</v>
      </c>
      <c r="AU32" s="107">
        <f>696.43768-696.43761</f>
        <v>7.0000000050640665E-5</v>
      </c>
      <c r="AV32" s="107">
        <f>696.43597-696.43761</f>
        <v>-1.6399999999521242E-3</v>
      </c>
      <c r="AW32" s="108">
        <v>-7.1099999991020013E-4</v>
      </c>
      <c r="AX32" s="108" t="s">
        <v>3</v>
      </c>
      <c r="AY32" s="109" t="s">
        <v>3</v>
      </c>
      <c r="AZ32" s="109" t="s">
        <v>3</v>
      </c>
      <c r="BA32" s="123" t="s">
        <v>3</v>
      </c>
    </row>
    <row r="33" spans="1:53" x14ac:dyDescent="0.25">
      <c r="A33" s="38">
        <v>30</v>
      </c>
      <c r="B33" s="139" t="s">
        <v>85</v>
      </c>
      <c r="C33" s="38" t="s">
        <v>138</v>
      </c>
      <c r="D33" s="38" t="s">
        <v>173</v>
      </c>
      <c r="E33" s="48">
        <v>740.46382600000004</v>
      </c>
      <c r="F33" s="102">
        <f>(740.4599-E33)</f>
        <v>-3.9260000000922446E-3</v>
      </c>
      <c r="G33" s="102">
        <f>(740.46753-E33)</f>
        <v>3.7039999999706197E-3</v>
      </c>
      <c r="H33" s="102">
        <f>(740.4599-E33)</f>
        <v>-3.9260000000922446E-3</v>
      </c>
      <c r="I33" s="103" t="s">
        <v>3</v>
      </c>
      <c r="J33" s="103" t="s">
        <v>3</v>
      </c>
      <c r="K33" s="116" t="s">
        <v>3</v>
      </c>
      <c r="L33" s="97">
        <f>740.46393-E33</f>
        <v>1.0399999996479892E-4</v>
      </c>
      <c r="M33" s="97">
        <f>(740.46283-E33)</f>
        <v>-9.9599999998645217E-4</v>
      </c>
      <c r="N33" s="97">
        <f>740.46252-E33</f>
        <v>-1.3059999999995853E-3</v>
      </c>
      <c r="O33" s="97">
        <f>740.46289-E33</f>
        <v>-9.3600000002425077E-4</v>
      </c>
      <c r="P33" s="97">
        <f>740.46332-E33</f>
        <v>-5.0600000008671486E-4</v>
      </c>
      <c r="Q33" s="97">
        <f>740.46338-E33</f>
        <v>-4.4600000001082662E-4</v>
      </c>
      <c r="R33" s="97">
        <f>740.46332-E33</f>
        <v>-5.0600000008671486E-4</v>
      </c>
      <c r="S33" s="97">
        <f>740.46307-E33</f>
        <v>-7.5600000002395973E-4</v>
      </c>
      <c r="T33" s="97">
        <f>740.46228-E33</f>
        <v>-1.5460000000757645E-3</v>
      </c>
      <c r="U33" s="97">
        <f>740.46198-E33</f>
        <v>-1.8460000000004584E-3</v>
      </c>
      <c r="V33" s="97">
        <f>740.46332-E33</f>
        <v>-5.0600000008671486E-4</v>
      </c>
      <c r="W33" s="101">
        <f>740.46411-E33</f>
        <v>2.8399999996508996E-4</v>
      </c>
      <c r="X33" s="101">
        <f>740.46448-E33</f>
        <v>6.5399999994042446E-4</v>
      </c>
      <c r="Y33" s="101" t="s">
        <v>3</v>
      </c>
      <c r="Z33" s="98">
        <f>740.46588-E33</f>
        <v>2.0539999999300562E-3</v>
      </c>
      <c r="AA33" s="99">
        <f>740.46417-E33</f>
        <v>3.4399999992729136E-4</v>
      </c>
      <c r="AB33" s="99" t="s">
        <v>3</v>
      </c>
      <c r="AC33" s="100">
        <f>740.46381-E33</f>
        <v>-1.6000000073290721E-5</v>
      </c>
      <c r="AD33" s="100" t="s">
        <v>3</v>
      </c>
      <c r="AE33" s="104">
        <f>740.46539-E33</f>
        <v>1.5639999999166321E-3</v>
      </c>
      <c r="AF33" s="104">
        <f>740.46602-E33</f>
        <v>2.1939999999176507E-3</v>
      </c>
      <c r="AG33" s="104">
        <f>740.46594-E33</f>
        <v>2.1140000000059445E-3</v>
      </c>
      <c r="AH33" s="104">
        <f>740.46449-E33</f>
        <v>6.6399999991517689E-4</v>
      </c>
      <c r="AI33" s="105">
        <v>-1.8129999999999999E-3</v>
      </c>
      <c r="AJ33" s="105">
        <v>-4.4299999999999998E-4</v>
      </c>
      <c r="AK33" s="105">
        <v>5.7300000000000005E-4</v>
      </c>
      <c r="AL33" s="105">
        <v>-8.1000000000000004E-5</v>
      </c>
      <c r="AM33" s="105" t="s">
        <v>3</v>
      </c>
      <c r="AN33" s="111">
        <f>740.464055199448-E33</f>
        <v>2.2919944797195058E-4</v>
      </c>
      <c r="AO33" s="111" t="s">
        <v>3</v>
      </c>
      <c r="AP33" s="111" t="s">
        <v>3</v>
      </c>
      <c r="AQ33" s="111" t="s">
        <v>3</v>
      </c>
      <c r="AR33" s="111" t="s">
        <v>3</v>
      </c>
      <c r="AS33" s="107">
        <f>740.46558-740.46383</f>
        <v>1.7500000000154614E-3</v>
      </c>
      <c r="AT33" s="107" t="s">
        <v>3</v>
      </c>
      <c r="AU33" s="107">
        <f>740.46729-740.46383</f>
        <v>3.4600000000182263E-3</v>
      </c>
      <c r="AV33" s="107">
        <f>740.46307-740.46383</f>
        <v>-7.600000000138607E-4</v>
      </c>
      <c r="AW33" s="108" t="s">
        <v>3</v>
      </c>
      <c r="AX33" s="108" t="s">
        <v>3</v>
      </c>
      <c r="AY33" s="109" t="s">
        <v>3</v>
      </c>
      <c r="AZ33" s="109" t="s">
        <v>3</v>
      </c>
      <c r="BA33" s="123" t="s">
        <v>3</v>
      </c>
    </row>
    <row r="34" spans="1:53" x14ac:dyDescent="0.25">
      <c r="A34" s="38">
        <v>31</v>
      </c>
      <c r="B34" s="139" t="s">
        <v>86</v>
      </c>
      <c r="C34" s="38" t="s">
        <v>138</v>
      </c>
      <c r="D34" s="38" t="s">
        <v>174</v>
      </c>
      <c r="E34" s="48">
        <v>784.49004100000002</v>
      </c>
      <c r="F34" s="102">
        <f>(784.49268-E34)</f>
        <v>2.6389999999310021E-3</v>
      </c>
      <c r="G34" s="102">
        <f>(784.49268-E34)</f>
        <v>2.6389999999310021E-3</v>
      </c>
      <c r="H34" s="102">
        <f>(784.49268-E34)</f>
        <v>2.6389999999310021E-3</v>
      </c>
      <c r="I34" s="103" t="s">
        <v>3</v>
      </c>
      <c r="J34" s="103" t="s">
        <v>3</v>
      </c>
      <c r="K34" s="116" t="s">
        <v>3</v>
      </c>
      <c r="L34" s="97">
        <f>784.48712-E34</f>
        <v>-2.9210000000148284E-3</v>
      </c>
      <c r="M34" s="97">
        <f>(784.48993-E34)</f>
        <v>-1.1100000006081245E-4</v>
      </c>
      <c r="N34" s="97">
        <f>784.48932-E34</f>
        <v>-7.209999999986394E-4</v>
      </c>
      <c r="O34" s="97">
        <f>784.48877-E34</f>
        <v>-1.2709999999742649E-3</v>
      </c>
      <c r="P34" s="97">
        <f>784.48969-E34</f>
        <v>-3.5100000002330489E-4</v>
      </c>
      <c r="Q34" s="97">
        <f>784.49-E34</f>
        <v>-4.1000000010171789E-5</v>
      </c>
      <c r="R34" s="97">
        <f>784.49011-E34</f>
        <v>6.8999999939478585E-5</v>
      </c>
      <c r="S34" s="97">
        <f>784.48907-E34</f>
        <v>-9.710000000495711E-4</v>
      </c>
      <c r="T34" s="97">
        <f>784.48993-E34</f>
        <v>-1.1100000006081245E-4</v>
      </c>
      <c r="U34" s="97">
        <f>784.48962-E34</f>
        <v>-4.2100000007394556E-4</v>
      </c>
      <c r="V34" s="97">
        <f>784.48999-E34</f>
        <v>-5.0999999984924216E-5</v>
      </c>
      <c r="W34" s="101">
        <f>784.49017-E34</f>
        <v>1.2900000001536682E-4</v>
      </c>
      <c r="X34" s="101">
        <f>784.49072-E34</f>
        <v>6.7899999999099236E-4</v>
      </c>
      <c r="Y34" s="101" t="s">
        <v>3</v>
      </c>
      <c r="Z34" s="98">
        <f>784.49268-E34</f>
        <v>2.6389999999310021E-3</v>
      </c>
      <c r="AA34" s="99">
        <f>784.49048-E34</f>
        <v>4.3900000002849993E-4</v>
      </c>
      <c r="AB34" s="99" t="s">
        <v>3</v>
      </c>
      <c r="AC34" s="100">
        <f>784.48969-E34</f>
        <v>-3.5100000002330489E-4</v>
      </c>
      <c r="AD34" s="100" t="s">
        <v>3</v>
      </c>
      <c r="AE34" s="104">
        <f>784.4916-E34</f>
        <v>1.5589999999292559E-3</v>
      </c>
      <c r="AF34" s="104">
        <f>784.49115-E34</f>
        <v>1.1089999999285283E-3</v>
      </c>
      <c r="AG34" s="104">
        <f>784.49128-E34</f>
        <v>1.2389999999413703E-3</v>
      </c>
      <c r="AH34" s="104">
        <f>784.49192-E34</f>
        <v>1.8790000000308282E-3</v>
      </c>
      <c r="AI34" s="105">
        <v>2.8299999999999999E-4</v>
      </c>
      <c r="AJ34" s="105">
        <v>-4.06E-4</v>
      </c>
      <c r="AK34" s="105">
        <v>6.8099999999999996E-4</v>
      </c>
      <c r="AL34" s="105">
        <v>5.2499999999999997E-4</v>
      </c>
      <c r="AM34" s="105" t="s">
        <v>3</v>
      </c>
      <c r="AN34" s="106" t="s">
        <v>3</v>
      </c>
      <c r="AO34" s="106" t="s">
        <v>3</v>
      </c>
      <c r="AP34" s="106" t="s">
        <v>3</v>
      </c>
      <c r="AQ34" s="106" t="s">
        <v>3</v>
      </c>
      <c r="AR34" s="106" t="s">
        <v>3</v>
      </c>
      <c r="AS34" s="107">
        <f>784.49237-784.49004</f>
        <v>2.3300000000290311E-3</v>
      </c>
      <c r="AT34" s="107" t="s">
        <v>3</v>
      </c>
      <c r="AU34" s="107" t="s">
        <v>3</v>
      </c>
      <c r="AV34" s="107">
        <f>(784.49158-784.49004)</f>
        <v>1.5399999999772263E-3</v>
      </c>
      <c r="AW34" s="108" t="s">
        <v>3</v>
      </c>
      <c r="AX34" s="108" t="s">
        <v>3</v>
      </c>
      <c r="AY34" s="109" t="s">
        <v>3</v>
      </c>
      <c r="AZ34" s="109" t="s">
        <v>3</v>
      </c>
      <c r="BA34" s="123" t="s">
        <v>3</v>
      </c>
    </row>
    <row r="35" spans="1:53" x14ac:dyDescent="0.25">
      <c r="A35" s="38">
        <v>32</v>
      </c>
      <c r="B35" s="139" t="s">
        <v>4</v>
      </c>
      <c r="C35" s="38" t="s">
        <v>138</v>
      </c>
      <c r="D35" s="38" t="s">
        <v>175</v>
      </c>
      <c r="E35" s="48">
        <v>248.079849</v>
      </c>
      <c r="F35" s="102" t="s">
        <v>3</v>
      </c>
      <c r="G35" s="102" t="s">
        <v>3</v>
      </c>
      <c r="H35" s="102" t="s">
        <v>3</v>
      </c>
      <c r="I35" s="103" t="s">
        <v>3</v>
      </c>
      <c r="J35" s="103" t="s">
        <v>3</v>
      </c>
      <c r="K35" s="116" t="s">
        <v>3</v>
      </c>
      <c r="L35" s="97" t="s">
        <v>3</v>
      </c>
      <c r="M35" s="97" t="s">
        <v>3</v>
      </c>
      <c r="N35" s="97" t="s">
        <v>3</v>
      </c>
      <c r="O35" s="97">
        <f>248.0793-E35</f>
        <v>-5.4900000000657201E-4</v>
      </c>
      <c r="P35" s="97" t="s">
        <v>3</v>
      </c>
      <c r="Q35" s="97" t="s">
        <v>3</v>
      </c>
      <c r="R35" s="97" t="s">
        <v>3</v>
      </c>
      <c r="S35" s="97">
        <f>248.0786-E35</f>
        <v>-1.2490000000013879E-3</v>
      </c>
      <c r="T35" s="97">
        <f>248.0793-E35</f>
        <v>-5.4900000000657201E-4</v>
      </c>
      <c r="U35" s="97">
        <f>248.07919-E35</f>
        <v>-6.5899999998464409E-4</v>
      </c>
      <c r="V35" s="97" t="s">
        <v>3</v>
      </c>
      <c r="W35" s="101" t="s">
        <v>3</v>
      </c>
      <c r="X35" s="101" t="s">
        <v>3</v>
      </c>
      <c r="Y35" s="101" t="s">
        <v>3</v>
      </c>
      <c r="Z35" s="98" t="s">
        <v>3</v>
      </c>
      <c r="AA35" s="99" t="s">
        <v>3</v>
      </c>
      <c r="AB35" s="99" t="s">
        <v>3</v>
      </c>
      <c r="AC35" s="100" t="s">
        <v>3</v>
      </c>
      <c r="AD35" s="100" t="s">
        <v>3</v>
      </c>
      <c r="AE35" s="104" t="s">
        <v>3</v>
      </c>
      <c r="AF35" s="104" t="s">
        <v>3</v>
      </c>
      <c r="AG35" s="104" t="s">
        <v>3</v>
      </c>
      <c r="AH35" s="104" t="s">
        <v>3</v>
      </c>
      <c r="AI35" s="105" t="s">
        <v>3</v>
      </c>
      <c r="AJ35" s="105" t="s">
        <v>3</v>
      </c>
      <c r="AK35" s="105" t="s">
        <v>3</v>
      </c>
      <c r="AL35" s="105" t="s">
        <v>3</v>
      </c>
      <c r="AM35" s="105" t="s">
        <v>3</v>
      </c>
      <c r="AN35" s="106" t="s">
        <v>3</v>
      </c>
      <c r="AO35" s="106" t="s">
        <v>3</v>
      </c>
      <c r="AP35" s="106" t="s">
        <v>3</v>
      </c>
      <c r="AQ35" s="106" t="s">
        <v>3</v>
      </c>
      <c r="AR35" s="106" t="s">
        <v>3</v>
      </c>
      <c r="AS35" s="107" t="s">
        <v>3</v>
      </c>
      <c r="AT35" s="107" t="s">
        <v>3</v>
      </c>
      <c r="AU35" s="107" t="s">
        <v>3</v>
      </c>
      <c r="AV35" s="107" t="s">
        <v>3</v>
      </c>
      <c r="AW35" s="108" t="s">
        <v>3</v>
      </c>
      <c r="AX35" s="108" t="s">
        <v>3</v>
      </c>
      <c r="AY35" s="109" t="s">
        <v>3</v>
      </c>
      <c r="AZ35" s="109" t="s">
        <v>3</v>
      </c>
      <c r="BA35" s="123" t="s">
        <v>3</v>
      </c>
    </row>
    <row r="36" spans="1:53" x14ac:dyDescent="0.25">
      <c r="A36" s="38">
        <v>33</v>
      </c>
      <c r="B36" s="139" t="s">
        <v>4</v>
      </c>
      <c r="C36" s="38" t="s">
        <v>139</v>
      </c>
      <c r="D36" s="38" t="s">
        <v>175</v>
      </c>
      <c r="E36" s="48">
        <v>229.038747</v>
      </c>
      <c r="F36" s="102" t="s">
        <v>564</v>
      </c>
      <c r="G36" s="102" t="s">
        <v>564</v>
      </c>
      <c r="H36" s="102" t="s">
        <v>564</v>
      </c>
      <c r="I36" s="103" t="s">
        <v>3</v>
      </c>
      <c r="J36" s="103" t="s">
        <v>3</v>
      </c>
      <c r="K36" s="116">
        <f>229.03889-229.0387</f>
        <v>1.9000000000346517E-4</v>
      </c>
      <c r="L36" s="97" t="s">
        <v>3</v>
      </c>
      <c r="M36" s="97">
        <f>229.0379-229.03875</f>
        <v>-8.4999999998558451E-4</v>
      </c>
      <c r="N36" s="97">
        <f>229.0377-229.03875</f>
        <v>-1.0499999999922238E-3</v>
      </c>
      <c r="O36" s="97">
        <f>229.03799-229.03875</f>
        <v>-7.5999999998543899E-4</v>
      </c>
      <c r="P36" s="97">
        <f>229.0379-229.03875</f>
        <v>-8.4999999998558451E-4</v>
      </c>
      <c r="Q36" s="97">
        <f>229.0379-229.03875</f>
        <v>-8.4999999998558451E-4</v>
      </c>
      <c r="R36" s="97">
        <f>229.0378-229.03875</f>
        <v>-9.4999999998890416E-4</v>
      </c>
      <c r="S36" s="97">
        <f>229.0378-229.03875</f>
        <v>-9.4999999998890416E-4</v>
      </c>
      <c r="T36" s="97">
        <f>229.0381-229.03875</f>
        <v>-6.5000000000736691E-4</v>
      </c>
      <c r="U36" s="97">
        <f>229.03799-229.03875</f>
        <v>-7.5999999998543899E-4</v>
      </c>
      <c r="V36" s="97" t="s">
        <v>3</v>
      </c>
      <c r="W36" s="101" t="s">
        <v>564</v>
      </c>
      <c r="X36" s="101" t="s">
        <v>564</v>
      </c>
      <c r="Y36" s="101" t="s">
        <v>564</v>
      </c>
      <c r="Z36" s="98" t="s">
        <v>3</v>
      </c>
      <c r="AA36" s="99" t="s">
        <v>3</v>
      </c>
      <c r="AB36" s="99" t="s">
        <v>3</v>
      </c>
      <c r="AC36" s="100">
        <f>229.03889-229.04</f>
        <v>-1.1099999999828469E-3</v>
      </c>
      <c r="AD36" s="100" t="s">
        <v>3</v>
      </c>
      <c r="AE36" s="104">
        <f>229.03934-E36</f>
        <v>5.9300000000916953E-4</v>
      </c>
      <c r="AF36" s="104" t="s">
        <v>3</v>
      </c>
      <c r="AG36" s="104" t="s">
        <v>3</v>
      </c>
      <c r="AH36" s="104" t="s">
        <v>3</v>
      </c>
      <c r="AI36" s="105" t="s">
        <v>3</v>
      </c>
      <c r="AJ36" s="105" t="s">
        <v>564</v>
      </c>
      <c r="AK36" s="105" t="s">
        <v>3</v>
      </c>
      <c r="AL36" s="105" t="s">
        <v>3</v>
      </c>
      <c r="AM36" s="105" t="s">
        <v>564</v>
      </c>
      <c r="AN36" s="106" t="s">
        <v>564</v>
      </c>
      <c r="AO36" s="106" t="s">
        <v>564</v>
      </c>
      <c r="AP36" s="106" t="s">
        <v>564</v>
      </c>
      <c r="AQ36" s="106" t="s">
        <v>564</v>
      </c>
      <c r="AR36" s="106" t="s">
        <v>564</v>
      </c>
      <c r="AS36" s="107" t="s">
        <v>3</v>
      </c>
      <c r="AT36" s="107" t="s">
        <v>3</v>
      </c>
      <c r="AU36" s="107" t="s">
        <v>3</v>
      </c>
      <c r="AV36" s="107" t="s">
        <v>3</v>
      </c>
      <c r="AW36" s="108">
        <v>7.5000000009595169E-5</v>
      </c>
      <c r="AX36" s="108" t="s">
        <v>3</v>
      </c>
      <c r="AY36" s="109" t="s">
        <v>3</v>
      </c>
      <c r="AZ36" s="109" t="s">
        <v>3</v>
      </c>
      <c r="BA36" s="123" t="s">
        <v>3</v>
      </c>
    </row>
    <row r="37" spans="1:53" x14ac:dyDescent="0.25">
      <c r="A37" s="38">
        <v>34</v>
      </c>
      <c r="B37" s="139" t="s">
        <v>5</v>
      </c>
      <c r="C37" s="38" t="s">
        <v>138</v>
      </c>
      <c r="D37" s="38" t="s">
        <v>176</v>
      </c>
      <c r="E37" s="48">
        <v>292.106064</v>
      </c>
      <c r="F37" s="102" t="s">
        <v>3</v>
      </c>
      <c r="G37" s="102" t="s">
        <v>3</v>
      </c>
      <c r="H37" s="102" t="s">
        <v>3</v>
      </c>
      <c r="I37" s="103" t="s">
        <v>3</v>
      </c>
      <c r="J37" s="103" t="s">
        <v>3</v>
      </c>
      <c r="K37" s="116" t="s">
        <v>3</v>
      </c>
      <c r="L37" s="97" t="s">
        <v>3</v>
      </c>
      <c r="M37" s="97">
        <f>292.10541-E37</f>
        <v>-6.5399999999726788E-4</v>
      </c>
      <c r="N37" s="97" t="s">
        <v>3</v>
      </c>
      <c r="O37" s="97">
        <f>292.1058-E37</f>
        <v>-2.640000000155851E-4</v>
      </c>
      <c r="P37" s="97">
        <f>292.10599-E37</f>
        <v>-7.3999999983698217E-5</v>
      </c>
      <c r="Q37" s="97" t="s">
        <v>3</v>
      </c>
      <c r="R37" s="97" t="s">
        <v>3</v>
      </c>
      <c r="S37" s="97">
        <f>292.1051-E37</f>
        <v>-9.6400000001040098E-4</v>
      </c>
      <c r="T37" s="97">
        <f>292.1058-E37</f>
        <v>-2.640000000155851E-4</v>
      </c>
      <c r="U37" s="97">
        <f>292.1058-E37</f>
        <v>-2.640000000155851E-4</v>
      </c>
      <c r="V37" s="97" t="s">
        <v>3</v>
      </c>
      <c r="W37" s="101" t="s">
        <v>3</v>
      </c>
      <c r="X37" s="101" t="s">
        <v>3</v>
      </c>
      <c r="Y37" s="101" t="s">
        <v>3</v>
      </c>
      <c r="Z37" s="98" t="s">
        <v>3</v>
      </c>
      <c r="AA37" s="99" t="s">
        <v>3</v>
      </c>
      <c r="AB37" s="99" t="s">
        <v>3</v>
      </c>
      <c r="AC37" s="100">
        <f>292.10599-E37</f>
        <v>-7.3999999983698217E-5</v>
      </c>
      <c r="AD37" s="100" t="s">
        <v>3</v>
      </c>
      <c r="AE37" s="104">
        <f>292.10631-E37</f>
        <v>2.4600000000418731E-4</v>
      </c>
      <c r="AF37" s="104" t="s">
        <v>3</v>
      </c>
      <c r="AG37" s="104" t="s">
        <v>3</v>
      </c>
      <c r="AH37" s="104" t="s">
        <v>3</v>
      </c>
      <c r="AI37" s="105" t="s">
        <v>3</v>
      </c>
      <c r="AJ37" s="105" t="s">
        <v>3</v>
      </c>
      <c r="AK37" s="105" t="s">
        <v>3</v>
      </c>
      <c r="AL37" s="105" t="s">
        <v>3</v>
      </c>
      <c r="AM37" s="105" t="s">
        <v>3</v>
      </c>
      <c r="AN37" s="106" t="s">
        <v>3</v>
      </c>
      <c r="AO37" s="106" t="s">
        <v>3</v>
      </c>
      <c r="AP37" s="106" t="s">
        <v>3</v>
      </c>
      <c r="AQ37" s="106" t="s">
        <v>3</v>
      </c>
      <c r="AR37" s="106" t="s">
        <v>3</v>
      </c>
      <c r="AS37" s="107" t="s">
        <v>3</v>
      </c>
      <c r="AT37" s="107" t="s">
        <v>3</v>
      </c>
      <c r="AU37" s="107" t="s">
        <v>3</v>
      </c>
      <c r="AV37" s="107" t="s">
        <v>3</v>
      </c>
      <c r="AW37" s="108" t="s">
        <v>3</v>
      </c>
      <c r="AX37" s="108" t="s">
        <v>3</v>
      </c>
      <c r="AY37" s="109" t="s">
        <v>3</v>
      </c>
      <c r="AZ37" s="109" t="s">
        <v>3</v>
      </c>
      <c r="BA37" s="123" t="s">
        <v>3</v>
      </c>
    </row>
    <row r="38" spans="1:53" x14ac:dyDescent="0.25">
      <c r="A38" s="38">
        <v>35</v>
      </c>
      <c r="B38" s="139" t="s">
        <v>5</v>
      </c>
      <c r="C38" s="38" t="s">
        <v>139</v>
      </c>
      <c r="D38" s="38" t="s">
        <v>176</v>
      </c>
      <c r="E38" s="48">
        <v>273.06496199999998</v>
      </c>
      <c r="F38" s="102" t="s">
        <v>564</v>
      </c>
      <c r="G38" s="102" t="s">
        <v>564</v>
      </c>
      <c r="H38" s="102" t="s">
        <v>564</v>
      </c>
      <c r="I38" s="103" t="s">
        <v>3</v>
      </c>
      <c r="J38" s="103" t="s">
        <v>3</v>
      </c>
      <c r="K38" s="116">
        <f>273.06519-273.065</f>
        <v>1.8999999997504347E-4</v>
      </c>
      <c r="L38" s="97" t="s">
        <v>3</v>
      </c>
      <c r="M38" s="97">
        <f>273.06369-273.06496</f>
        <v>-1.2699999999767897E-3</v>
      </c>
      <c r="N38" s="97">
        <f>273.0639-273.06496</f>
        <v>-1.059999999995398E-3</v>
      </c>
      <c r="O38" s="97">
        <f>273.06409-273.06496</f>
        <v>-8.6999999996351107E-4</v>
      </c>
      <c r="P38" s="97">
        <f>273.064-273.06496</f>
        <v>-9.5999999996365659E-4</v>
      </c>
      <c r="Q38" s="97">
        <f>273.06409-273.06496</f>
        <v>-8.6999999996351107E-4</v>
      </c>
      <c r="R38" s="97">
        <f>273.0639-273.06496</f>
        <v>-1.059999999995398E-3</v>
      </c>
      <c r="S38" s="97">
        <f>273.064-273.06496</f>
        <v>-9.5999999996365659E-4</v>
      </c>
      <c r="T38" s="97">
        <f>273.0639-273.06496</f>
        <v>-1.059999999995398E-3</v>
      </c>
      <c r="U38" s="97">
        <f>273.064-273.06496</f>
        <v>-9.5999999996365659E-4</v>
      </c>
      <c r="V38" s="97" t="s">
        <v>3</v>
      </c>
      <c r="W38" s="101" t="s">
        <v>564</v>
      </c>
      <c r="X38" s="101" t="s">
        <v>564</v>
      </c>
      <c r="Y38" s="101" t="s">
        <v>564</v>
      </c>
      <c r="Z38" s="98" t="s">
        <v>3</v>
      </c>
      <c r="AA38" s="99">
        <f>273.06509-273.06496</f>
        <v>1.3000000001284207E-4</v>
      </c>
      <c r="AB38" s="99" t="s">
        <v>3</v>
      </c>
      <c r="AC38" s="100">
        <f>273.065-273.06496</f>
        <v>4.0000000012696546E-5</v>
      </c>
      <c r="AD38" s="100" t="s">
        <v>3</v>
      </c>
      <c r="AE38" s="104">
        <f>273.06589-E38</f>
        <v>9.2800000004444883E-4</v>
      </c>
      <c r="AF38" s="104" t="s">
        <v>3</v>
      </c>
      <c r="AG38" s="104" t="s">
        <v>3</v>
      </c>
      <c r="AH38" s="104" t="s">
        <v>3</v>
      </c>
      <c r="AI38" s="105" t="s">
        <v>3</v>
      </c>
      <c r="AJ38" s="105" t="s">
        <v>564</v>
      </c>
      <c r="AK38" s="105" t="s">
        <v>3</v>
      </c>
      <c r="AL38" s="105" t="s">
        <v>3</v>
      </c>
      <c r="AM38" s="105" t="s">
        <v>564</v>
      </c>
      <c r="AN38" s="106" t="s">
        <v>564</v>
      </c>
      <c r="AO38" s="106" t="s">
        <v>564</v>
      </c>
      <c r="AP38" s="106" t="s">
        <v>564</v>
      </c>
      <c r="AQ38" s="106" t="s">
        <v>564</v>
      </c>
      <c r="AR38" s="106" t="s">
        <v>564</v>
      </c>
      <c r="AS38" s="107" t="s">
        <v>3</v>
      </c>
      <c r="AT38" s="107" t="s">
        <v>3</v>
      </c>
      <c r="AU38" s="107" t="s">
        <v>3</v>
      </c>
      <c r="AV38" s="107" t="s">
        <v>3</v>
      </c>
      <c r="AW38" s="108">
        <v>5.300000003671812E-5</v>
      </c>
      <c r="AX38" s="108" t="s">
        <v>3</v>
      </c>
      <c r="AY38" s="109" t="s">
        <v>3</v>
      </c>
      <c r="AZ38" s="109" t="s">
        <v>3</v>
      </c>
      <c r="BA38" s="123" t="s">
        <v>3</v>
      </c>
    </row>
    <row r="39" spans="1:53" x14ac:dyDescent="0.25">
      <c r="A39" s="38">
        <v>36</v>
      </c>
      <c r="B39" s="139" t="s">
        <v>6</v>
      </c>
      <c r="C39" s="38" t="s">
        <v>138</v>
      </c>
      <c r="D39" s="38" t="s">
        <v>177</v>
      </c>
      <c r="E39" s="48">
        <v>336.13227899999998</v>
      </c>
      <c r="F39" s="102" t="s">
        <v>3</v>
      </c>
      <c r="G39" s="102" t="s">
        <v>3</v>
      </c>
      <c r="H39" s="102" t="s">
        <v>3</v>
      </c>
      <c r="I39" s="103" t="s">
        <v>3</v>
      </c>
      <c r="J39" s="103" t="s">
        <v>3</v>
      </c>
      <c r="K39" s="116" t="s">
        <v>3</v>
      </c>
      <c r="L39" s="97" t="s">
        <v>3</v>
      </c>
      <c r="M39" s="97">
        <f>336.13159-E39</f>
        <v>-6.8899999996574479E-4</v>
      </c>
      <c r="N39" s="97">
        <f>336.13239-E39</f>
        <v>1.1100000000396903E-4</v>
      </c>
      <c r="O39" s="97">
        <f>336.13211-E39</f>
        <v>-1.6899999997121995E-4</v>
      </c>
      <c r="P39" s="97">
        <f>336.13239-E39</f>
        <v>1.1100000000396903E-4</v>
      </c>
      <c r="Q39" s="97">
        <f>336.1329-E39</f>
        <v>6.2100000002374145E-4</v>
      </c>
      <c r="R39" s="97">
        <f>336.13269-E39</f>
        <v>4.1100000004234971E-4</v>
      </c>
      <c r="S39" s="97">
        <f>336.13129-E39</f>
        <v>-9.8900000000412547E-4</v>
      </c>
      <c r="T39" s="97">
        <f>336.1322-E39</f>
        <v>-7.8999999971074431E-5</v>
      </c>
      <c r="U39" s="97">
        <f>336.13211-E39</f>
        <v>-1.6899999997121995E-4</v>
      </c>
      <c r="V39" s="97" t="s">
        <v>3</v>
      </c>
      <c r="W39" s="101">
        <f>336.13229-E39</f>
        <v>1.1000000029071089E-5</v>
      </c>
      <c r="X39" s="101">
        <f>336.13239-E39</f>
        <v>1.1100000000396903E-4</v>
      </c>
      <c r="Y39" s="101" t="s">
        <v>3</v>
      </c>
      <c r="Z39" s="98" t="s">
        <v>3</v>
      </c>
      <c r="AA39" s="99">
        <f>336.13211-E39</f>
        <v>-1.6899999997121995E-4</v>
      </c>
      <c r="AB39" s="99" t="s">
        <v>3</v>
      </c>
      <c r="AC39" s="100">
        <f>336.13211-E39</f>
        <v>-1.6899999997121995E-4</v>
      </c>
      <c r="AD39" s="100" t="s">
        <v>3</v>
      </c>
      <c r="AE39" s="104">
        <f>336.13301-E39</f>
        <v>7.3100000003023524E-4</v>
      </c>
      <c r="AF39" s="104" t="s">
        <v>3</v>
      </c>
      <c r="AG39" s="104">
        <f>336.13189-E39</f>
        <v>-3.8899999998420753E-4</v>
      </c>
      <c r="AH39" s="104" t="s">
        <v>3</v>
      </c>
      <c r="AI39" s="105" t="s">
        <v>3</v>
      </c>
      <c r="AJ39" s="105" t="s">
        <v>3</v>
      </c>
      <c r="AK39" s="105" t="s">
        <v>3</v>
      </c>
      <c r="AL39" s="105" t="s">
        <v>3</v>
      </c>
      <c r="AM39" s="105" t="s">
        <v>3</v>
      </c>
      <c r="AN39" s="106" t="s">
        <v>3</v>
      </c>
      <c r="AO39" s="106" t="s">
        <v>3</v>
      </c>
      <c r="AP39" s="106" t="s">
        <v>3</v>
      </c>
      <c r="AQ39" s="106" t="s">
        <v>3</v>
      </c>
      <c r="AR39" s="106" t="s">
        <v>3</v>
      </c>
      <c r="AS39" s="107" t="s">
        <v>3</v>
      </c>
      <c r="AT39" s="107" t="s">
        <v>3</v>
      </c>
      <c r="AU39" s="107" t="s">
        <v>3</v>
      </c>
      <c r="AV39" s="107" t="s">
        <v>3</v>
      </c>
      <c r="AW39" s="108" t="s">
        <v>3</v>
      </c>
      <c r="AX39" s="108" t="s">
        <v>3</v>
      </c>
      <c r="AY39" s="109" t="s">
        <v>3</v>
      </c>
      <c r="AZ39" s="109" t="s">
        <v>3</v>
      </c>
      <c r="BA39" s="123" t="s">
        <v>3</v>
      </c>
    </row>
    <row r="40" spans="1:53" x14ac:dyDescent="0.25">
      <c r="A40" s="38">
        <v>37</v>
      </c>
      <c r="B40" s="139" t="s">
        <v>6</v>
      </c>
      <c r="C40" s="38" t="s">
        <v>139</v>
      </c>
      <c r="D40" s="38" t="s">
        <v>177</v>
      </c>
      <c r="E40" s="48">
        <v>317.09117700000002</v>
      </c>
      <c r="F40" s="102" t="s">
        <v>564</v>
      </c>
      <c r="G40" s="102" t="s">
        <v>564</v>
      </c>
      <c r="H40" s="102" t="s">
        <v>564</v>
      </c>
      <c r="I40" s="103" t="s">
        <v>3</v>
      </c>
      <c r="J40" s="103" t="s">
        <v>3</v>
      </c>
      <c r="K40" s="116">
        <v>-7.0299999999999996E-4</v>
      </c>
      <c r="L40" s="97" t="s">
        <v>3</v>
      </c>
      <c r="M40" s="97">
        <f>317.09-317.09118</f>
        <v>-1.1800000000334876E-3</v>
      </c>
      <c r="N40" s="97">
        <f>317.09009-317.09118</f>
        <v>-1.0900000000333421E-3</v>
      </c>
      <c r="O40" s="97">
        <f>317.09009-317.09118</f>
        <v>-1.0900000000333421E-3</v>
      </c>
      <c r="P40" s="97">
        <f>317.09021-317.09118</f>
        <v>-9.6999999999525244E-4</v>
      </c>
      <c r="Q40" s="97">
        <f>317.0903-317.09118</f>
        <v>-8.7999999999510692E-4</v>
      </c>
      <c r="R40" s="97">
        <f>317.08981-317.09118</f>
        <v>-1.3700000000085311E-3</v>
      </c>
      <c r="S40" s="97">
        <f>317.0899-317.09118</f>
        <v>-1.2800000000083855E-3</v>
      </c>
      <c r="T40" s="97">
        <f>317.08981-317.09118</f>
        <v>-1.3700000000085311E-3</v>
      </c>
      <c r="U40" s="97">
        <f>317.09021-317.09118</f>
        <v>-9.6999999999525244E-4</v>
      </c>
      <c r="V40" s="97" t="s">
        <v>3</v>
      </c>
      <c r="W40" s="101" t="s">
        <v>564</v>
      </c>
      <c r="X40" s="101" t="s">
        <v>564</v>
      </c>
      <c r="Y40" s="101" t="s">
        <v>564</v>
      </c>
      <c r="Z40" s="98" t="s">
        <v>3</v>
      </c>
      <c r="AA40" s="99">
        <f>317.09119-317.09118</f>
        <v>9.9999999747524271E-6</v>
      </c>
      <c r="AB40" s="99" t="s">
        <v>3</v>
      </c>
      <c r="AC40" s="100">
        <f>317.09131-317.09118</f>
        <v>1.3000000001284207E-4</v>
      </c>
      <c r="AD40" s="100" t="s">
        <v>3</v>
      </c>
      <c r="AE40" s="104">
        <f>317.09209-E40</f>
        <v>9.1299999996863335E-4</v>
      </c>
      <c r="AF40" s="104" t="s">
        <v>3</v>
      </c>
      <c r="AG40" s="104">
        <f>317.09061-E40</f>
        <v>-5.6699999998954809E-4</v>
      </c>
      <c r="AH40" s="104" t="s">
        <v>3</v>
      </c>
      <c r="AI40" s="105">
        <v>-5.5099999999999995E-4</v>
      </c>
      <c r="AJ40" s="105" t="s">
        <v>564</v>
      </c>
      <c r="AK40" s="105">
        <v>2.5900000000000001E-4</v>
      </c>
      <c r="AL40" s="105" t="s">
        <v>3</v>
      </c>
      <c r="AM40" s="105" t="s">
        <v>564</v>
      </c>
      <c r="AN40" s="106" t="s">
        <v>564</v>
      </c>
      <c r="AO40" s="106" t="s">
        <v>564</v>
      </c>
      <c r="AP40" s="106" t="s">
        <v>564</v>
      </c>
      <c r="AQ40" s="106" t="s">
        <v>564</v>
      </c>
      <c r="AR40" s="106" t="s">
        <v>564</v>
      </c>
      <c r="AS40" s="107" t="s">
        <v>3</v>
      </c>
      <c r="AT40" s="107" t="s">
        <v>3</v>
      </c>
      <c r="AU40" s="107" t="s">
        <v>3</v>
      </c>
      <c r="AV40" s="107" t="s">
        <v>3</v>
      </c>
      <c r="AW40" s="108">
        <v>-2.3700000002691013E-4</v>
      </c>
      <c r="AX40" s="108" t="s">
        <v>3</v>
      </c>
      <c r="AY40" s="109" t="s">
        <v>3</v>
      </c>
      <c r="AZ40" s="109" t="s">
        <v>3</v>
      </c>
      <c r="BA40" s="123" t="s">
        <v>3</v>
      </c>
    </row>
    <row r="41" spans="1:53" x14ac:dyDescent="0.25">
      <c r="A41" s="38">
        <v>38</v>
      </c>
      <c r="B41" s="139" t="s">
        <v>7</v>
      </c>
      <c r="C41" s="38" t="s">
        <v>138</v>
      </c>
      <c r="D41" s="38" t="s">
        <v>178</v>
      </c>
      <c r="E41" s="48">
        <v>380.15849400000002</v>
      </c>
      <c r="F41" s="102" t="s">
        <v>3</v>
      </c>
      <c r="G41" s="102" t="s">
        <v>3</v>
      </c>
      <c r="H41" s="102" t="s">
        <v>3</v>
      </c>
      <c r="I41" s="103" t="s">
        <v>3</v>
      </c>
      <c r="J41" s="103" t="s">
        <v>3</v>
      </c>
      <c r="K41" s="116" t="s">
        <v>3</v>
      </c>
      <c r="L41" s="97">
        <f>380.1582-E41</f>
        <v>-2.939999999966858E-4</v>
      </c>
      <c r="M41" s="97">
        <f>380.15771-E41</f>
        <v>-7.8400000001010994E-4</v>
      </c>
      <c r="N41" s="97">
        <f>380.1586-E41</f>
        <v>1.059999999597494E-4</v>
      </c>
      <c r="O41" s="97">
        <f>380.15479-E41</f>
        <v>-3.7040000000274631E-3</v>
      </c>
      <c r="P41" s="97">
        <f>380.15869-E41</f>
        <v>1.9599999995989492E-4</v>
      </c>
      <c r="Q41" s="97">
        <f>380.15909-E41</f>
        <v>5.9599999997317354E-4</v>
      </c>
      <c r="R41" s="97">
        <f>380.15869-E41</f>
        <v>1.9599999995989492E-4</v>
      </c>
      <c r="S41" s="97">
        <f>380.1582-E41</f>
        <v>-2.939999999966858E-4</v>
      </c>
      <c r="T41" s="97">
        <f>380.15829-E41</f>
        <v>-2.0399999999654028E-4</v>
      </c>
      <c r="U41" s="97">
        <f>380.15839-E41</f>
        <v>-1.0400000002164234E-4</v>
      </c>
      <c r="V41" s="97" t="s">
        <v>3</v>
      </c>
      <c r="W41" s="101">
        <f>380.159-E41</f>
        <v>5.0599999997302803E-4</v>
      </c>
      <c r="X41" s="101">
        <f>380.15869-E41</f>
        <v>1.9599999995989492E-4</v>
      </c>
      <c r="Y41" s="101" t="s">
        <v>3</v>
      </c>
      <c r="Z41" s="98" t="s">
        <v>3</v>
      </c>
      <c r="AA41" s="99">
        <f>380.1586-E41</f>
        <v>1.059999999597494E-4</v>
      </c>
      <c r="AB41" s="99" t="s">
        <v>3</v>
      </c>
      <c r="AC41" s="100">
        <f>380.15829-E41</f>
        <v>-2.0399999999654028E-4</v>
      </c>
      <c r="AD41" s="100" t="s">
        <v>3</v>
      </c>
      <c r="AE41" s="104">
        <f>380.15926-E41</f>
        <v>7.6599999999871216E-4</v>
      </c>
      <c r="AF41" s="104" t="s">
        <v>3</v>
      </c>
      <c r="AG41" s="104">
        <f>380.15868-E41</f>
        <v>1.8599999998514249E-4</v>
      </c>
      <c r="AH41" s="104" t="s">
        <v>3</v>
      </c>
      <c r="AI41" s="105" t="s">
        <v>3</v>
      </c>
      <c r="AJ41" s="105" t="s">
        <v>3</v>
      </c>
      <c r="AK41" s="105" t="s">
        <v>3</v>
      </c>
      <c r="AL41" s="105" t="s">
        <v>3</v>
      </c>
      <c r="AM41" s="105" t="s">
        <v>3</v>
      </c>
      <c r="AN41" s="106" t="s">
        <v>3</v>
      </c>
      <c r="AO41" s="106" t="s">
        <v>3</v>
      </c>
      <c r="AP41" s="106" t="s">
        <v>3</v>
      </c>
      <c r="AQ41" s="106" t="s">
        <v>3</v>
      </c>
      <c r="AR41" s="106" t="s">
        <v>3</v>
      </c>
      <c r="AS41" s="107" t="s">
        <v>3</v>
      </c>
      <c r="AT41" s="107" t="s">
        <v>3</v>
      </c>
      <c r="AU41" s="107" t="s">
        <v>3</v>
      </c>
      <c r="AV41" s="107" t="s">
        <v>3</v>
      </c>
      <c r="AW41" s="108">
        <v>-3.4400000004097819E-4</v>
      </c>
      <c r="AX41" s="108" t="s">
        <v>3</v>
      </c>
      <c r="AY41" s="109" t="s">
        <v>3</v>
      </c>
      <c r="AZ41" s="109" t="s">
        <v>3</v>
      </c>
      <c r="BA41" s="123" t="s">
        <v>3</v>
      </c>
    </row>
    <row r="42" spans="1:53" x14ac:dyDescent="0.25">
      <c r="A42" s="38">
        <v>39</v>
      </c>
      <c r="B42" s="139" t="s">
        <v>7</v>
      </c>
      <c r="C42" s="38" t="s">
        <v>139</v>
      </c>
      <c r="D42" s="38" t="s">
        <v>178</v>
      </c>
      <c r="E42" s="48">
        <v>361.117392</v>
      </c>
      <c r="F42" s="102" t="s">
        <v>564</v>
      </c>
      <c r="G42" s="102" t="s">
        <v>564</v>
      </c>
      <c r="H42" s="102" t="s">
        <v>564</v>
      </c>
      <c r="I42" s="103" t="s">
        <v>3</v>
      </c>
      <c r="J42" s="103" t="s">
        <v>3</v>
      </c>
      <c r="K42" s="116">
        <v>-5.1570000000000001E-3</v>
      </c>
      <c r="L42" s="97" t="s">
        <v>3</v>
      </c>
      <c r="M42" s="97">
        <f>361.11649-361.11739</f>
        <v>-9.0000000000145519E-4</v>
      </c>
      <c r="N42" s="97">
        <f>361.11661-361.11739</f>
        <v>-7.8000000002020897E-4</v>
      </c>
      <c r="O42" s="97">
        <f>361.11649-361.11739</f>
        <v>-9.0000000000145519E-4</v>
      </c>
      <c r="P42" s="97">
        <f>361.11649-361.11739</f>
        <v>-9.0000000000145519E-4</v>
      </c>
      <c r="Q42" s="97">
        <f>361.11649-361.11739</f>
        <v>-9.0000000000145519E-4</v>
      </c>
      <c r="R42" s="97">
        <f>361.11649-361.11739</f>
        <v>-9.0000000000145519E-4</v>
      </c>
      <c r="S42" s="97">
        <f>361.11639-361.11739</f>
        <v>-9.9999999997635314E-4</v>
      </c>
      <c r="T42" s="97">
        <f>361.11581-361.11739</f>
        <v>-1.5799999999899228E-3</v>
      </c>
      <c r="U42" s="97">
        <f>361.11639-361.11739</f>
        <v>-9.9999999997635314E-4</v>
      </c>
      <c r="V42" s="97" t="s">
        <v>3</v>
      </c>
      <c r="W42" s="101" t="s">
        <v>564</v>
      </c>
      <c r="X42" s="101" t="s">
        <v>564</v>
      </c>
      <c r="Y42" s="101" t="s">
        <v>564</v>
      </c>
      <c r="Z42" s="98">
        <f>361.11649-361.11739</f>
        <v>-9.0000000000145519E-4</v>
      </c>
      <c r="AA42" s="99">
        <f>361.11749-361.11739</f>
        <v>9.9999999974897946E-5</v>
      </c>
      <c r="AB42" s="99" t="s">
        <v>3</v>
      </c>
      <c r="AC42" s="100">
        <f>361.11761-361.11739</f>
        <v>2.2000000001298758E-4</v>
      </c>
      <c r="AD42" s="100" t="s">
        <v>3</v>
      </c>
      <c r="AE42" s="104">
        <f>361.11805-E42</f>
        <v>6.5799999998716885E-4</v>
      </c>
      <c r="AF42" s="104" t="s">
        <v>3</v>
      </c>
      <c r="AG42" s="104">
        <f>361.11849-E42</f>
        <v>1.098000000013144E-3</v>
      </c>
      <c r="AH42" s="104" t="s">
        <v>3</v>
      </c>
      <c r="AI42" s="105">
        <v>-9.4300000000000004E-4</v>
      </c>
      <c r="AJ42" s="105" t="s">
        <v>564</v>
      </c>
      <c r="AK42" s="105">
        <v>-6.87E-4</v>
      </c>
      <c r="AL42" s="105" t="s">
        <v>3</v>
      </c>
      <c r="AM42" s="105" t="s">
        <v>564</v>
      </c>
      <c r="AN42" s="106" t="s">
        <v>564</v>
      </c>
      <c r="AO42" s="106" t="s">
        <v>564</v>
      </c>
      <c r="AP42" s="106" t="s">
        <v>564</v>
      </c>
      <c r="AQ42" s="106" t="s">
        <v>564</v>
      </c>
      <c r="AR42" s="106" t="s">
        <v>564</v>
      </c>
      <c r="AS42" s="107" t="s">
        <v>3</v>
      </c>
      <c r="AT42" s="107" t="s">
        <v>3</v>
      </c>
      <c r="AU42" s="107" t="s">
        <v>3</v>
      </c>
      <c r="AV42" s="107" t="s">
        <v>3</v>
      </c>
      <c r="AW42" s="108">
        <v>2.9200000000173532E-4</v>
      </c>
      <c r="AX42" s="108" t="s">
        <v>3</v>
      </c>
      <c r="AY42" s="109" t="s">
        <v>3</v>
      </c>
      <c r="AZ42" s="109" t="s">
        <v>3</v>
      </c>
      <c r="BA42" s="123" t="s">
        <v>3</v>
      </c>
    </row>
    <row r="43" spans="1:53" x14ac:dyDescent="0.25">
      <c r="A43" s="38">
        <v>40</v>
      </c>
      <c r="B43" s="139" t="s">
        <v>8</v>
      </c>
      <c r="C43" s="38" t="s">
        <v>138</v>
      </c>
      <c r="D43" s="38" t="s">
        <v>179</v>
      </c>
      <c r="E43" s="48">
        <v>424.184708</v>
      </c>
      <c r="F43" s="102" t="s">
        <v>3</v>
      </c>
      <c r="G43" s="102" t="s">
        <v>3</v>
      </c>
      <c r="H43" s="102" t="s">
        <v>3</v>
      </c>
      <c r="I43" s="103" t="s">
        <v>3</v>
      </c>
      <c r="J43" s="103" t="s">
        <v>3</v>
      </c>
      <c r="K43" s="116" t="s">
        <v>3</v>
      </c>
      <c r="L43" s="97">
        <f>424.18579-E43</f>
        <v>1.0819999999966967E-3</v>
      </c>
      <c r="M43" s="97">
        <f>424.1842-E43</f>
        <v>-5.0800000002482193E-4</v>
      </c>
      <c r="N43" s="97">
        <f>424.18491-E43</f>
        <v>2.020000000015898E-4</v>
      </c>
      <c r="O43" s="97">
        <f>424.1853-E43</f>
        <v>5.9199999998327257E-4</v>
      </c>
      <c r="P43" s="97">
        <f>424.18439-E43</f>
        <v>-3.1799999999293505E-4</v>
      </c>
      <c r="Q43" s="97">
        <f>424.18491-E43</f>
        <v>2.020000000015898E-4</v>
      </c>
      <c r="R43" s="97">
        <f>424.1842-E43</f>
        <v>-5.0800000002482193E-4</v>
      </c>
      <c r="S43" s="97">
        <f>424.1846-E43</f>
        <v>-1.0800000001154331E-4</v>
      </c>
      <c r="T43" s="97">
        <f>424.18451-E43</f>
        <v>-1.9800000001168883E-4</v>
      </c>
      <c r="U43" s="97">
        <f>424.1843-E43</f>
        <v>-4.0799999999308056E-4</v>
      </c>
      <c r="V43" s="97">
        <f>424.1875-E43</f>
        <v>2.7919999999994616E-3</v>
      </c>
      <c r="W43" s="101">
        <f>424.18491-E43</f>
        <v>2.020000000015898E-4</v>
      </c>
      <c r="X43" s="101">
        <f>424.185-E43</f>
        <v>2.9200000000173532E-4</v>
      </c>
      <c r="Y43" s="101" t="s">
        <v>3</v>
      </c>
      <c r="Z43" s="98" t="s">
        <v>3</v>
      </c>
      <c r="AA43" s="99">
        <f>424.18469-E43</f>
        <v>-1.8000000011397788E-5</v>
      </c>
      <c r="AB43" s="99" t="s">
        <v>3</v>
      </c>
      <c r="AC43" s="100">
        <f>424.1846-E43</f>
        <v>-1.0800000001154331E-4</v>
      </c>
      <c r="AD43" s="100" t="s">
        <v>3</v>
      </c>
      <c r="AE43" s="104">
        <f>424.18562-E43</f>
        <v>9.119999999711581E-4</v>
      </c>
      <c r="AF43" s="104" t="s">
        <v>3</v>
      </c>
      <c r="AG43" s="104">
        <f>424.1843-E43</f>
        <v>-4.0799999999308056E-4</v>
      </c>
      <c r="AH43" s="104" t="s">
        <v>3</v>
      </c>
      <c r="AI43" s="105" t="s">
        <v>3</v>
      </c>
      <c r="AJ43" s="105" t="s">
        <v>3</v>
      </c>
      <c r="AK43" s="105" t="s">
        <v>3</v>
      </c>
      <c r="AL43" s="105" t="s">
        <v>3</v>
      </c>
      <c r="AM43" s="105" t="s">
        <v>3</v>
      </c>
      <c r="AN43" s="106" t="s">
        <v>3</v>
      </c>
      <c r="AO43" s="106" t="s">
        <v>3</v>
      </c>
      <c r="AP43" s="106" t="s">
        <v>3</v>
      </c>
      <c r="AQ43" s="106" t="s">
        <v>3</v>
      </c>
      <c r="AR43" s="106" t="s">
        <v>3</v>
      </c>
      <c r="AS43" s="107" t="s">
        <v>3</v>
      </c>
      <c r="AT43" s="107" t="s">
        <v>3</v>
      </c>
      <c r="AU43" s="107" t="s">
        <v>3</v>
      </c>
      <c r="AV43" s="107" t="s">
        <v>3</v>
      </c>
      <c r="AW43" s="108">
        <v>-8.3799999998745989E-4</v>
      </c>
      <c r="AX43" s="108" t="s">
        <v>3</v>
      </c>
      <c r="AY43" s="109">
        <v>-2.479999999991378E-4</v>
      </c>
      <c r="AZ43" s="109" t="s">
        <v>3</v>
      </c>
      <c r="BA43" s="123" t="s">
        <v>3</v>
      </c>
    </row>
    <row r="44" spans="1:53" x14ac:dyDescent="0.25">
      <c r="A44" s="38">
        <v>41</v>
      </c>
      <c r="B44" s="139" t="s">
        <v>8</v>
      </c>
      <c r="C44" s="38" t="s">
        <v>139</v>
      </c>
      <c r="D44" s="38" t="s">
        <v>179</v>
      </c>
      <c r="E44" s="48">
        <v>405.14360599999998</v>
      </c>
      <c r="F44" s="102" t="s">
        <v>564</v>
      </c>
      <c r="G44" s="102" t="s">
        <v>564</v>
      </c>
      <c r="H44" s="102" t="s">
        <v>564</v>
      </c>
      <c r="I44" s="103" t="s">
        <v>3</v>
      </c>
      <c r="J44" s="103" t="s">
        <v>3</v>
      </c>
      <c r="K44" s="116">
        <v>1.6200000000000001E-4</v>
      </c>
      <c r="L44" s="97" t="s">
        <v>3</v>
      </c>
      <c r="M44" s="97">
        <f>405.1424-405.14361</f>
        <v>-1.2100000000145883E-3</v>
      </c>
      <c r="N44" s="97">
        <f>405.1424-405.14361</f>
        <v>-1.2100000000145883E-3</v>
      </c>
      <c r="O44" s="97">
        <f>405.1427-405.14361</f>
        <v>-9.1000000003305104E-4</v>
      </c>
      <c r="P44" s="97">
        <f>405.1424-405.14361</f>
        <v>-1.2100000000145883E-3</v>
      </c>
      <c r="Q44" s="97">
        <f>405.1424-405.14361</f>
        <v>-1.2100000000145883E-3</v>
      </c>
      <c r="R44" s="97">
        <f>405.14221-405.14361</f>
        <v>-1.4000000000464752E-3</v>
      </c>
      <c r="S44" s="97">
        <f>405.1424-405.14361</f>
        <v>-1.2100000000145883E-3</v>
      </c>
      <c r="T44" s="97">
        <f>405.14191-405.14361</f>
        <v>-1.7000000000280124E-3</v>
      </c>
      <c r="U44" s="97">
        <f>405.14221-405.14361</f>
        <v>-1.4000000000464752E-3</v>
      </c>
      <c r="V44" s="97" t="s">
        <v>3</v>
      </c>
      <c r="W44" s="101" t="s">
        <v>564</v>
      </c>
      <c r="X44" s="101" t="s">
        <v>564</v>
      </c>
      <c r="Y44" s="101" t="s">
        <v>564</v>
      </c>
      <c r="Z44" s="98">
        <f>405.14249-405.14361</f>
        <v>-1.1200000000144428E-3</v>
      </c>
      <c r="AA44" s="99">
        <f>405.14359-405.14361</f>
        <v>-2.0000000006348273E-5</v>
      </c>
      <c r="AB44" s="99" t="s">
        <v>3</v>
      </c>
      <c r="AC44" s="100">
        <f>405.14401-405.14361</f>
        <v>3.999999999564352E-4</v>
      </c>
      <c r="AD44" s="100" t="s">
        <v>3</v>
      </c>
      <c r="AE44" s="104">
        <f>405.14449-E44</f>
        <v>8.8400000004185131E-4</v>
      </c>
      <c r="AF44" s="104" t="s">
        <v>3</v>
      </c>
      <c r="AG44" s="104">
        <f>405.14397-E44</f>
        <v>3.6400000004732647E-4</v>
      </c>
      <c r="AH44" s="104" t="s">
        <v>3</v>
      </c>
      <c r="AI44" s="105">
        <v>5.1699999999999999E-4</v>
      </c>
      <c r="AJ44" s="105" t="s">
        <v>564</v>
      </c>
      <c r="AK44" s="105">
        <v>-8.92E-4</v>
      </c>
      <c r="AL44" s="105">
        <v>-2.5079999999999998E-3</v>
      </c>
      <c r="AM44" s="105" t="s">
        <v>564</v>
      </c>
      <c r="AN44" s="106" t="s">
        <v>564</v>
      </c>
      <c r="AO44" s="106" t="s">
        <v>564</v>
      </c>
      <c r="AP44" s="106" t="s">
        <v>564</v>
      </c>
      <c r="AQ44" s="106" t="s">
        <v>564</v>
      </c>
      <c r="AR44" s="106" t="s">
        <v>564</v>
      </c>
      <c r="AS44" s="107" t="s">
        <v>3</v>
      </c>
      <c r="AT44" s="107" t="s">
        <v>3</v>
      </c>
      <c r="AU44" s="107" t="s">
        <v>3</v>
      </c>
      <c r="AV44" s="107" t="s">
        <v>3</v>
      </c>
      <c r="AW44" s="108">
        <v>3.8800000004357571E-4</v>
      </c>
      <c r="AX44" s="108" t="s">
        <v>3</v>
      </c>
      <c r="AY44" s="109" t="s">
        <v>3</v>
      </c>
      <c r="AZ44" s="109" t="s">
        <v>3</v>
      </c>
      <c r="BA44" s="123" t="s">
        <v>3</v>
      </c>
    </row>
    <row r="45" spans="1:53" ht="14.25" customHeight="1" x14ac:dyDescent="0.25">
      <c r="A45" s="38">
        <v>42</v>
      </c>
      <c r="B45" s="139" t="s">
        <v>9</v>
      </c>
      <c r="C45" s="38" t="s">
        <v>138</v>
      </c>
      <c r="D45" s="38" t="s">
        <v>180</v>
      </c>
      <c r="E45" s="48">
        <v>468.21092299999998</v>
      </c>
      <c r="F45" s="102" t="s">
        <v>3</v>
      </c>
      <c r="G45" s="102" t="s">
        <v>3</v>
      </c>
      <c r="H45" s="102" t="s">
        <v>3</v>
      </c>
      <c r="I45" s="103" t="s">
        <v>3</v>
      </c>
      <c r="J45" s="103" t="s">
        <v>3</v>
      </c>
      <c r="K45" s="116" t="s">
        <v>3</v>
      </c>
      <c r="L45" s="97">
        <f>468.21021-E45</f>
        <v>-7.1299999996199404E-4</v>
      </c>
      <c r="M45" s="97">
        <f>468.21039-E45</f>
        <v>-5.32999999961703E-4</v>
      </c>
      <c r="N45" s="97">
        <f>468.21078-E45</f>
        <v>-1.4299999998002022E-4</v>
      </c>
      <c r="O45" s="97">
        <f>468.2106-E45</f>
        <v>-3.2299999998031126E-4</v>
      </c>
      <c r="P45" s="97">
        <f>468.21051-E45</f>
        <v>-4.1299999998045678E-4</v>
      </c>
      <c r="Q45" s="97">
        <f>468.20999-E45</f>
        <v>-9.3299999997498162E-4</v>
      </c>
      <c r="R45" s="97">
        <f>468.21121-E45</f>
        <v>2.870000000143591E-4</v>
      </c>
      <c r="S45" s="97">
        <f>468.21021-E45</f>
        <v>-7.1299999996199404E-4</v>
      </c>
      <c r="T45" s="97">
        <f>468.2106-E45</f>
        <v>-3.2299999998031126E-4</v>
      </c>
      <c r="U45" s="97">
        <f>468.2106-E45</f>
        <v>-3.2299999998031126E-4</v>
      </c>
      <c r="V45" s="97">
        <f>468.20981-E45</f>
        <v>-1.1129999999752727E-3</v>
      </c>
      <c r="W45" s="101">
        <f>468.21109-E45</f>
        <v>1.6700000003311288E-4</v>
      </c>
      <c r="X45" s="101">
        <f>468.21109-E45</f>
        <v>1.6700000003311288E-4</v>
      </c>
      <c r="Y45" s="101" t="s">
        <v>3</v>
      </c>
      <c r="Z45" s="98" t="s">
        <v>3</v>
      </c>
      <c r="AA45" s="99">
        <f>468.211-E45</f>
        <v>7.7000000032967364E-5</v>
      </c>
      <c r="AB45" s="99" t="s">
        <v>3</v>
      </c>
      <c r="AC45" s="100">
        <f>468.21078-E45</f>
        <v>-1.4299999998002022E-4</v>
      </c>
      <c r="AD45" s="100" t="s">
        <v>3</v>
      </c>
      <c r="AE45" s="104">
        <f>468.21262-E45</f>
        <v>1.6970000000355867E-3</v>
      </c>
      <c r="AF45" s="104" t="s">
        <v>3</v>
      </c>
      <c r="AG45" s="104">
        <f>468.21115-E45</f>
        <v>2.2699999999531428E-4</v>
      </c>
      <c r="AH45" s="104" t="s">
        <v>3</v>
      </c>
      <c r="AI45" s="105">
        <v>7.0500000000000001E-4</v>
      </c>
      <c r="AJ45" s="105">
        <v>1.2869999999999999E-3</v>
      </c>
      <c r="AK45" s="105">
        <v>-1.2509999999999999E-3</v>
      </c>
      <c r="AL45" s="105" t="s">
        <v>3</v>
      </c>
      <c r="AM45" s="105" t="s">
        <v>3</v>
      </c>
      <c r="AN45" s="106" t="s">
        <v>3</v>
      </c>
      <c r="AO45" s="106" t="s">
        <v>3</v>
      </c>
      <c r="AP45" s="106" t="s">
        <v>3</v>
      </c>
      <c r="AQ45" s="106" t="s">
        <v>3</v>
      </c>
      <c r="AR45" s="106" t="s">
        <v>3</v>
      </c>
      <c r="AS45" s="107" t="s">
        <v>3</v>
      </c>
      <c r="AT45" s="107" t="s">
        <v>3</v>
      </c>
      <c r="AU45" s="107" t="s">
        <v>3</v>
      </c>
      <c r="AV45" s="107" t="s">
        <v>3</v>
      </c>
      <c r="AW45" s="108">
        <v>-2.1299999997381747E-4</v>
      </c>
      <c r="AX45" s="108" t="s">
        <v>3</v>
      </c>
      <c r="AY45" s="109">
        <v>-4.3000000005122274E-5</v>
      </c>
      <c r="AZ45" s="109" t="s">
        <v>3</v>
      </c>
      <c r="BA45" s="123" t="s">
        <v>3</v>
      </c>
    </row>
    <row r="46" spans="1:53" x14ac:dyDescent="0.25">
      <c r="A46" s="38">
        <v>43</v>
      </c>
      <c r="B46" s="139" t="s">
        <v>9</v>
      </c>
      <c r="C46" s="38" t="s">
        <v>139</v>
      </c>
      <c r="D46" s="38" t="s">
        <v>180</v>
      </c>
      <c r="E46" s="48">
        <v>449.16982100000001</v>
      </c>
      <c r="F46" s="102" t="s">
        <v>564</v>
      </c>
      <c r="G46" s="102" t="s">
        <v>564</v>
      </c>
      <c r="H46" s="102" t="s">
        <v>564</v>
      </c>
      <c r="I46" s="103" t="s">
        <v>3</v>
      </c>
      <c r="J46" s="103" t="s">
        <v>3</v>
      </c>
      <c r="K46" s="116">
        <v>1.92E-4</v>
      </c>
      <c r="L46" s="97" t="s">
        <v>3</v>
      </c>
      <c r="M46" s="97">
        <f>449.16849-449.16982</f>
        <v>-1.3299999999958345E-3</v>
      </c>
      <c r="N46" s="97">
        <f>449.168-449.16982</f>
        <v>-1.8200000000092587E-3</v>
      </c>
      <c r="O46" s="97">
        <f>449.16849-449.16982</f>
        <v>-1.3299999999958345E-3</v>
      </c>
      <c r="P46" s="97">
        <f>449.16849-449.16982</f>
        <v>-1.3299999999958345E-3</v>
      </c>
      <c r="Q46" s="97">
        <f>449.16849-449.16982</f>
        <v>-1.3299999999958345E-3</v>
      </c>
      <c r="R46" s="97">
        <f>449.1684-449.16982</f>
        <v>-1.41999999999598E-3</v>
      </c>
      <c r="S46" s="97">
        <f>449.1683-449.16982</f>
        <v>-1.5200000000277214E-3</v>
      </c>
      <c r="T46" s="97">
        <f>449.168-449.16982</f>
        <v>-1.8200000000092587E-3</v>
      </c>
      <c r="U46" s="97">
        <f>449.1683-449.16982</f>
        <v>-1.5200000000277214E-3</v>
      </c>
      <c r="V46" s="97" t="s">
        <v>3</v>
      </c>
      <c r="W46" s="101" t="s">
        <v>564</v>
      </c>
      <c r="X46" s="101" t="s">
        <v>564</v>
      </c>
      <c r="Y46" s="101" t="s">
        <v>564</v>
      </c>
      <c r="Z46" s="98">
        <f>449.16849-449.16982</f>
        <v>-1.3299999999958345E-3</v>
      </c>
      <c r="AA46" s="99">
        <f>449.16989-449.16982</f>
        <v>6.9999999993797246E-5</v>
      </c>
      <c r="AB46" s="99" t="s">
        <v>3</v>
      </c>
      <c r="AC46" s="100">
        <f>449.1701-449.16982</f>
        <v>2.7999999997518898E-4</v>
      </c>
      <c r="AD46" s="100" t="s">
        <v>3</v>
      </c>
      <c r="AE46" s="104">
        <f>449.17045-E46</f>
        <v>6.2900000000354339E-4</v>
      </c>
      <c r="AF46" s="104" t="s">
        <v>3</v>
      </c>
      <c r="AG46" s="104">
        <f>449.17064-E46</f>
        <v>8.1899999997858686E-4</v>
      </c>
      <c r="AH46" s="104" t="s">
        <v>3</v>
      </c>
      <c r="AI46" s="105">
        <v>4.9399999999999997E-4</v>
      </c>
      <c r="AJ46" s="105" t="s">
        <v>564</v>
      </c>
      <c r="AK46" s="105">
        <v>-8.12E-4</v>
      </c>
      <c r="AL46" s="105">
        <v>-3.908E-3</v>
      </c>
      <c r="AM46" s="105" t="s">
        <v>564</v>
      </c>
      <c r="AN46" s="106" t="s">
        <v>564</v>
      </c>
      <c r="AO46" s="106" t="s">
        <v>564</v>
      </c>
      <c r="AP46" s="106" t="s">
        <v>564</v>
      </c>
      <c r="AQ46" s="106" t="s">
        <v>564</v>
      </c>
      <c r="AR46" s="106" t="s">
        <v>564</v>
      </c>
      <c r="AS46" s="107" t="s">
        <v>3</v>
      </c>
      <c r="AT46" s="107" t="s">
        <v>3</v>
      </c>
      <c r="AU46" s="107" t="s">
        <v>3</v>
      </c>
      <c r="AV46" s="107" t="s">
        <v>3</v>
      </c>
      <c r="AW46" s="108" t="s">
        <v>3</v>
      </c>
      <c r="AX46" s="108" t="s">
        <v>3</v>
      </c>
      <c r="AY46" s="109" t="s">
        <v>3</v>
      </c>
      <c r="AZ46" s="109" t="s">
        <v>3</v>
      </c>
      <c r="BA46" s="123" t="s">
        <v>3</v>
      </c>
    </row>
    <row r="47" spans="1:53" x14ac:dyDescent="0.25">
      <c r="A47" s="38">
        <v>44</v>
      </c>
      <c r="B47" s="139" t="s">
        <v>10</v>
      </c>
      <c r="C47" s="38" t="s">
        <v>138</v>
      </c>
      <c r="D47" s="38" t="s">
        <v>181</v>
      </c>
      <c r="E47" s="48">
        <v>512.23713799999996</v>
      </c>
      <c r="F47" s="102" t="s">
        <v>3</v>
      </c>
      <c r="G47" s="102" t="s">
        <v>3</v>
      </c>
      <c r="H47" s="102" t="s">
        <v>3</v>
      </c>
      <c r="I47" s="103" t="s">
        <v>3</v>
      </c>
      <c r="J47" s="103" t="s">
        <v>3</v>
      </c>
      <c r="K47" s="116" t="s">
        <v>3</v>
      </c>
      <c r="L47" s="97">
        <f>512.23547-E47</f>
        <v>-1.6679999999951178E-3</v>
      </c>
      <c r="M47" s="97">
        <f>512.23633-E47</f>
        <v>-8.0800000000635919E-4</v>
      </c>
      <c r="N47" s="97">
        <f>512.23688-E47</f>
        <v>-2.5799999991704681E-4</v>
      </c>
      <c r="O47" s="97">
        <f>512.2356-E47</f>
        <v>-1.5379999999822758E-3</v>
      </c>
      <c r="P47" s="97">
        <f>512.23651-E47</f>
        <v>-6.2800000000606815E-4</v>
      </c>
      <c r="Q47" s="97">
        <f>512.23608-E47</f>
        <v>-1.0579999999436041E-3</v>
      </c>
      <c r="R47" s="97">
        <f>512.23633-E47</f>
        <v>-8.0800000000635919E-4</v>
      </c>
      <c r="S47" s="97">
        <f>512.23572-E47</f>
        <v>-1.4179999999441861E-3</v>
      </c>
      <c r="T47" s="97">
        <f>512.23657-E47</f>
        <v>-5.6799999993017991E-4</v>
      </c>
      <c r="U47" s="97">
        <f>512.23651-E47</f>
        <v>-6.2800000000606815E-4</v>
      </c>
      <c r="V47" s="97">
        <f>512.23682-E47</f>
        <v>-3.1799999999293505E-4</v>
      </c>
      <c r="W47" s="101">
        <f>512.2373-E47</f>
        <v>1.6200000004573667E-4</v>
      </c>
      <c r="X47" s="101">
        <f>512.23761-E47</f>
        <v>4.7200000005886977E-4</v>
      </c>
      <c r="Y47" s="101" t="s">
        <v>3</v>
      </c>
      <c r="Z47" s="98" t="s">
        <v>3</v>
      </c>
      <c r="AA47" s="99">
        <f>512.2373-E47</f>
        <v>1.6200000004573667E-4</v>
      </c>
      <c r="AB47" s="99" t="s">
        <v>3</v>
      </c>
      <c r="AC47" s="100">
        <f>512.23682-E47</f>
        <v>-3.1799999999293505E-4</v>
      </c>
      <c r="AD47" s="100" t="s">
        <v>3</v>
      </c>
      <c r="AE47" s="104">
        <f>512.23853-E47</f>
        <v>1.3920000000098298E-3</v>
      </c>
      <c r="AF47" s="104" t="s">
        <v>3</v>
      </c>
      <c r="AG47" s="104">
        <f>512.23802-E47</f>
        <v>8.8200000004690082E-4</v>
      </c>
      <c r="AH47" s="104" t="s">
        <v>3</v>
      </c>
      <c r="AI47" s="105">
        <v>1.3129999999999999E-3</v>
      </c>
      <c r="AJ47" s="105">
        <v>-1.08E-4</v>
      </c>
      <c r="AK47" s="105">
        <v>-1.049E-3</v>
      </c>
      <c r="AL47" s="105" t="s">
        <v>3</v>
      </c>
      <c r="AM47" s="105" t="s">
        <v>3</v>
      </c>
      <c r="AN47" s="106" t="s">
        <v>3</v>
      </c>
      <c r="AO47" s="106" t="s">
        <v>3</v>
      </c>
      <c r="AP47" s="106" t="s">
        <v>3</v>
      </c>
      <c r="AQ47" s="106" t="s">
        <v>3</v>
      </c>
      <c r="AR47" s="106" t="s">
        <v>3</v>
      </c>
      <c r="AS47" s="107" t="s">
        <v>3</v>
      </c>
      <c r="AT47" s="107" t="s">
        <v>3</v>
      </c>
      <c r="AU47" s="107" t="s">
        <v>3</v>
      </c>
      <c r="AV47" s="107" t="s">
        <v>3</v>
      </c>
      <c r="AW47" s="108">
        <v>-1.4380000000073778E-3</v>
      </c>
      <c r="AX47" s="108" t="s">
        <v>3</v>
      </c>
      <c r="AY47" s="109">
        <v>-2.3799999996754195E-4</v>
      </c>
      <c r="AZ47" s="109" t="s">
        <v>3</v>
      </c>
      <c r="BA47" s="123" t="s">
        <v>3</v>
      </c>
    </row>
    <row r="48" spans="1:53" x14ac:dyDescent="0.25">
      <c r="A48" s="38">
        <v>45</v>
      </c>
      <c r="B48" s="139" t="s">
        <v>10</v>
      </c>
      <c r="C48" s="38" t="s">
        <v>139</v>
      </c>
      <c r="D48" s="38" t="s">
        <v>181</v>
      </c>
      <c r="E48" s="48">
        <v>493.19603599999999</v>
      </c>
      <c r="F48" s="102" t="s">
        <v>564</v>
      </c>
      <c r="G48" s="102" t="s">
        <v>564</v>
      </c>
      <c r="H48" s="102" t="s">
        <v>564</v>
      </c>
      <c r="I48" s="103" t="s">
        <v>3</v>
      </c>
      <c r="J48" s="103" t="s">
        <v>3</v>
      </c>
      <c r="K48" s="116">
        <v>9.5500000000000001E-4</v>
      </c>
      <c r="L48" s="97" t="s">
        <v>3</v>
      </c>
      <c r="M48" s="97">
        <f>493.1947-493.19604</f>
        <v>-1.3399999999705869E-3</v>
      </c>
      <c r="N48" s="97">
        <f>493.19409-493.19604</f>
        <v>-1.9499999999652573E-3</v>
      </c>
      <c r="O48" s="97">
        <f>493.1951-493.19604</f>
        <v>-9.3999999995730832E-4</v>
      </c>
      <c r="P48" s="97">
        <f>493.1947-493.19604</f>
        <v>-1.3399999999705869E-3</v>
      </c>
      <c r="Q48" s="97">
        <f>493.19479-493.19604</f>
        <v>-1.2499999999704414E-3</v>
      </c>
      <c r="R48" s="97">
        <f>493.19431-493.19604</f>
        <v>-1.7300000000091131E-3</v>
      </c>
      <c r="S48" s="97">
        <f>493.19431-493.19604</f>
        <v>-1.7300000000091131E-3</v>
      </c>
      <c r="T48" s="97">
        <f>493.19409-493.19604</f>
        <v>-1.9499999999652573E-3</v>
      </c>
      <c r="U48" s="97">
        <f>493.1944-493.19604</f>
        <v>-1.6400000000089676E-3</v>
      </c>
      <c r="V48" s="97" t="s">
        <v>3</v>
      </c>
      <c r="W48" s="101" t="s">
        <v>564</v>
      </c>
      <c r="X48" s="101" t="s">
        <v>564</v>
      </c>
      <c r="Y48" s="101" t="s">
        <v>564</v>
      </c>
      <c r="Z48" s="98">
        <f>493.19449-493.19604</f>
        <v>-1.5500000000088221E-3</v>
      </c>
      <c r="AA48" s="99">
        <f>493.19641-493.19604</f>
        <v>3.7000000003217792E-4</v>
      </c>
      <c r="AB48" s="99" t="s">
        <v>3</v>
      </c>
      <c r="AC48" s="100">
        <f>493.19611-493.19604</f>
        <v>6.9999999993797246E-5</v>
      </c>
      <c r="AD48" s="100" t="s">
        <v>3</v>
      </c>
      <c r="AE48" s="104">
        <f>493.19715-E48</f>
        <v>1.1140000000295913E-3</v>
      </c>
      <c r="AF48" s="104" t="s">
        <v>3</v>
      </c>
      <c r="AG48" s="104">
        <f>493.19651-E48</f>
        <v>4.7399999999697684E-4</v>
      </c>
      <c r="AH48" s="104" t="s">
        <v>3</v>
      </c>
      <c r="AI48" s="105">
        <v>5.5699999999999999E-4</v>
      </c>
      <c r="AJ48" s="105" t="s">
        <v>564</v>
      </c>
      <c r="AK48" s="105">
        <v>-2.5700000000000001E-4</v>
      </c>
      <c r="AL48" s="105">
        <v>-2.9870000000000001E-3</v>
      </c>
      <c r="AM48" s="105" t="s">
        <v>564</v>
      </c>
      <c r="AN48" s="106" t="s">
        <v>564</v>
      </c>
      <c r="AO48" s="106" t="s">
        <v>564</v>
      </c>
      <c r="AP48" s="106" t="s">
        <v>564</v>
      </c>
      <c r="AQ48" s="106" t="s">
        <v>564</v>
      </c>
      <c r="AR48" s="106" t="s">
        <v>564</v>
      </c>
      <c r="AS48" s="107" t="s">
        <v>3</v>
      </c>
      <c r="AT48" s="107" t="s">
        <v>3</v>
      </c>
      <c r="AU48" s="107" t="s">
        <v>3</v>
      </c>
      <c r="AV48" s="107" t="s">
        <v>3</v>
      </c>
      <c r="AW48" s="108" t="s">
        <v>3</v>
      </c>
      <c r="AX48" s="108" t="s">
        <v>3</v>
      </c>
      <c r="AY48" s="109" t="s">
        <v>3</v>
      </c>
      <c r="AZ48" s="109" t="s">
        <v>3</v>
      </c>
      <c r="BA48" s="123" t="s">
        <v>3</v>
      </c>
    </row>
    <row r="49" spans="1:53" x14ac:dyDescent="0.25">
      <c r="A49" s="38">
        <v>46</v>
      </c>
      <c r="B49" s="139" t="s">
        <v>11</v>
      </c>
      <c r="C49" s="38" t="s">
        <v>138</v>
      </c>
      <c r="D49" s="38" t="s">
        <v>182</v>
      </c>
      <c r="E49" s="48">
        <v>556.26335300000005</v>
      </c>
      <c r="F49" s="102" t="s">
        <v>3</v>
      </c>
      <c r="G49" s="102" t="s">
        <v>3</v>
      </c>
      <c r="H49" s="102" t="s">
        <v>3</v>
      </c>
      <c r="I49" s="103" t="s">
        <v>3</v>
      </c>
      <c r="J49" s="103" t="s">
        <v>3</v>
      </c>
      <c r="K49" s="116" t="s">
        <v>3</v>
      </c>
      <c r="L49" s="97">
        <f>556.26147-E49</f>
        <v>-1.8830000000207292E-3</v>
      </c>
      <c r="M49" s="97">
        <f>556.263-E49</f>
        <v>-3.5300000001825538E-4</v>
      </c>
      <c r="N49" s="97">
        <f>556.26312-E49</f>
        <v>-2.3300000009385258E-4</v>
      </c>
      <c r="O49" s="97">
        <f>556.26251-E49</f>
        <v>-8.4300000003167952E-4</v>
      </c>
      <c r="P49" s="97">
        <f>556.26282-E49</f>
        <v>-5.3300000001854642E-4</v>
      </c>
      <c r="Q49" s="97">
        <f>556.26367-E49</f>
        <v>3.169999999954598E-4</v>
      </c>
      <c r="R49" s="97">
        <f>556.26318-E49</f>
        <v>-1.7300000001796434E-4</v>
      </c>
      <c r="S49" s="97">
        <f>556.26233-E49</f>
        <v>-1.0230000000319706E-3</v>
      </c>
      <c r="T49" s="97">
        <f>556.26282-E49</f>
        <v>-5.3300000001854642E-4</v>
      </c>
      <c r="U49" s="97">
        <f>556.26257-E49</f>
        <v>-7.8300000006947812E-4</v>
      </c>
      <c r="V49" s="97">
        <f>556.26251-E49</f>
        <v>-8.4300000003167952E-4</v>
      </c>
      <c r="W49" s="101">
        <f>556.26422-E49</f>
        <v>8.6699999997108534E-4</v>
      </c>
      <c r="X49" s="101">
        <f>556.26367-E49</f>
        <v>3.169999999954598E-4</v>
      </c>
      <c r="Y49" s="101" t="s">
        <v>3</v>
      </c>
      <c r="Z49" s="98" t="s">
        <v>3</v>
      </c>
      <c r="AA49" s="99">
        <f>556.26349-E49</f>
        <v>1.3699999999516876E-4</v>
      </c>
      <c r="AB49" s="99" t="s">
        <v>3</v>
      </c>
      <c r="AC49" s="100">
        <f>556.26312-E49</f>
        <v>-2.3300000009385258E-4</v>
      </c>
      <c r="AD49" s="100" t="s">
        <v>3</v>
      </c>
      <c r="AE49" s="104">
        <f>556.26451-E49</f>
        <v>1.1569999999210268E-3</v>
      </c>
      <c r="AF49" s="104" t="s">
        <v>3</v>
      </c>
      <c r="AG49" s="104">
        <f>556.26344-E49</f>
        <v>8.6999999894032953E-5</v>
      </c>
      <c r="AH49" s="104" t="s">
        <v>3</v>
      </c>
      <c r="AI49" s="105">
        <v>-4.4900000000000002E-4</v>
      </c>
      <c r="AJ49" s="105">
        <v>8.4800000000000001E-4</v>
      </c>
      <c r="AK49" s="105">
        <v>-1.5989999999999999E-3</v>
      </c>
      <c r="AL49" s="105" t="s">
        <v>3</v>
      </c>
      <c r="AM49" s="105" t="s">
        <v>3</v>
      </c>
      <c r="AN49" s="106" t="s">
        <v>3</v>
      </c>
      <c r="AO49" s="106" t="s">
        <v>3</v>
      </c>
      <c r="AP49" s="106" t="s">
        <v>3</v>
      </c>
      <c r="AQ49" s="106" t="s">
        <v>3</v>
      </c>
      <c r="AR49" s="106" t="s">
        <v>3</v>
      </c>
      <c r="AS49" s="107" t="s">
        <v>3</v>
      </c>
      <c r="AT49" s="107" t="s">
        <v>3</v>
      </c>
      <c r="AU49" s="107" t="s">
        <v>3</v>
      </c>
      <c r="AV49" s="107" t="s">
        <v>3</v>
      </c>
      <c r="AW49" s="108" t="s">
        <v>3</v>
      </c>
      <c r="AX49" s="108" t="s">
        <v>3</v>
      </c>
      <c r="AY49" s="109" t="s">
        <v>3</v>
      </c>
      <c r="AZ49" s="109" t="s">
        <v>3</v>
      </c>
      <c r="BA49" s="123" t="s">
        <v>3</v>
      </c>
    </row>
    <row r="50" spans="1:53" x14ac:dyDescent="0.25">
      <c r="A50" s="38">
        <v>47</v>
      </c>
      <c r="B50" s="139" t="s">
        <v>11</v>
      </c>
      <c r="C50" s="38" t="s">
        <v>139</v>
      </c>
      <c r="D50" s="38" t="s">
        <v>182</v>
      </c>
      <c r="E50" s="48">
        <v>537.22225100000003</v>
      </c>
      <c r="F50" s="102" t="s">
        <v>564</v>
      </c>
      <c r="G50" s="102" t="s">
        <v>564</v>
      </c>
      <c r="H50" s="102" t="s">
        <v>564</v>
      </c>
      <c r="I50" s="103" t="s">
        <v>3</v>
      </c>
      <c r="J50" s="103" t="s">
        <v>3</v>
      </c>
      <c r="K50" s="116">
        <v>3.8999999999999999E-5</v>
      </c>
      <c r="L50" s="97" t="s">
        <v>3</v>
      </c>
      <c r="M50" s="97">
        <f>537.22058-537.22225</f>
        <v>-1.6699999999900683E-3</v>
      </c>
      <c r="N50" s="97">
        <f>537.21973-537.22225</f>
        <v>-2.5200000000040745E-3</v>
      </c>
      <c r="O50" s="97">
        <f>537.22113-537.22225</f>
        <v>-1.1200000000144428E-3</v>
      </c>
      <c r="P50" s="97">
        <f>537.22058-537.22225</f>
        <v>-1.6699999999900683E-3</v>
      </c>
      <c r="Q50" s="97">
        <f>537.22113-537.22225</f>
        <v>-1.1200000000144428E-3</v>
      </c>
      <c r="R50" s="97">
        <f>537.22052-537.22225</f>
        <v>-1.7300000000659566E-3</v>
      </c>
      <c r="S50" s="97">
        <f>537.22058-537.22225</f>
        <v>-1.6699999999900683E-3</v>
      </c>
      <c r="T50" s="97">
        <f>537.22021-537.22225</f>
        <v>-2.0400000000790897E-3</v>
      </c>
      <c r="U50" s="97">
        <f>537.2207-537.22225</f>
        <v>-1.5500000000656655E-3</v>
      </c>
      <c r="V50" s="97" t="s">
        <v>3</v>
      </c>
      <c r="W50" s="101" t="s">
        <v>564</v>
      </c>
      <c r="X50" s="101" t="s">
        <v>564</v>
      </c>
      <c r="Y50" s="101" t="s">
        <v>564</v>
      </c>
      <c r="Z50" s="98">
        <f>537.22089-537.22225</f>
        <v>-1.3599999999769352E-3</v>
      </c>
      <c r="AA50" s="99">
        <f>537.22223-537.22225</f>
        <v>-2.0000000063191692E-5</v>
      </c>
      <c r="AB50" s="99" t="s">
        <v>3</v>
      </c>
      <c r="AC50" s="100" t="s">
        <v>3</v>
      </c>
      <c r="AD50" s="100" t="s">
        <v>3</v>
      </c>
      <c r="AE50" s="104">
        <f>537.22288-E50</f>
        <v>6.2900000000354339E-4</v>
      </c>
      <c r="AF50" s="104" t="s">
        <v>3</v>
      </c>
      <c r="AG50" s="104">
        <f>537.22399-E50</f>
        <v>1.7389999999295469E-3</v>
      </c>
      <c r="AH50" s="104" t="s">
        <v>3</v>
      </c>
      <c r="AI50" s="105">
        <f>537.22028-537.22115</f>
        <v>-8.6999999996351107E-4</v>
      </c>
      <c r="AJ50" s="105" t="s">
        <v>564</v>
      </c>
      <c r="AK50" s="105">
        <v>-3.3199999999999999E-4</v>
      </c>
      <c r="AL50" s="105">
        <v>2.2030000000000001E-3</v>
      </c>
      <c r="AM50" s="105" t="s">
        <v>564</v>
      </c>
      <c r="AN50" s="106" t="s">
        <v>564</v>
      </c>
      <c r="AO50" s="106" t="s">
        <v>564</v>
      </c>
      <c r="AP50" s="106" t="s">
        <v>564</v>
      </c>
      <c r="AQ50" s="106" t="s">
        <v>564</v>
      </c>
      <c r="AR50" s="106" t="s">
        <v>564</v>
      </c>
      <c r="AS50" s="107" t="s">
        <v>3</v>
      </c>
      <c r="AT50" s="107" t="s">
        <v>3</v>
      </c>
      <c r="AU50" s="107" t="s">
        <v>3</v>
      </c>
      <c r="AV50" s="107" t="s">
        <v>3</v>
      </c>
      <c r="AW50" s="108" t="s">
        <v>3</v>
      </c>
      <c r="AX50" s="108" t="s">
        <v>3</v>
      </c>
      <c r="AY50" s="109" t="s">
        <v>3</v>
      </c>
      <c r="AZ50" s="109" t="s">
        <v>3</v>
      </c>
      <c r="BA50" s="123" t="s">
        <v>3</v>
      </c>
    </row>
    <row r="51" spans="1:53" x14ac:dyDescent="0.25">
      <c r="A51" s="38">
        <v>48</v>
      </c>
      <c r="B51" s="139" t="s">
        <v>12</v>
      </c>
      <c r="C51" s="38" t="s">
        <v>138</v>
      </c>
      <c r="D51" s="38" t="s">
        <v>183</v>
      </c>
      <c r="E51" s="48">
        <v>600.28956700000003</v>
      </c>
      <c r="F51" s="102" t="s">
        <v>3</v>
      </c>
      <c r="G51" s="102" t="s">
        <v>3</v>
      </c>
      <c r="H51" s="102" t="s">
        <v>3</v>
      </c>
      <c r="I51" s="103" t="s">
        <v>3</v>
      </c>
      <c r="J51" s="103" t="s">
        <v>3</v>
      </c>
      <c r="K51" s="116" t="s">
        <v>3</v>
      </c>
      <c r="L51" s="97" t="s">
        <v>3</v>
      </c>
      <c r="M51" s="97">
        <f>600.28992-E51</f>
        <v>3.5300000001825538E-4</v>
      </c>
      <c r="N51" s="97">
        <f>600.28802-E51</f>
        <v>-1.5470000000732398E-3</v>
      </c>
      <c r="O51" s="97">
        <f>600.29138-E51</f>
        <v>1.8129999999700885E-3</v>
      </c>
      <c r="P51" s="97">
        <f>600.28888-E51</f>
        <v>-6.8700000008448114E-4</v>
      </c>
      <c r="Q51" s="97">
        <f>600.29041-E51</f>
        <v>8.4299999991799268E-4</v>
      </c>
      <c r="R51" s="97">
        <f>600.28998-E51</f>
        <v>4.1299999998045678E-4</v>
      </c>
      <c r="S51" s="97">
        <f>600.28851-E51</f>
        <v>-1.0570000000598156E-3</v>
      </c>
      <c r="T51" s="97">
        <f>600.289-E51</f>
        <v>-5.6700000004639151E-4</v>
      </c>
      <c r="U51" s="97">
        <f>600.289-E51</f>
        <v>-5.6700000004639151E-4</v>
      </c>
      <c r="V51" s="97" t="s">
        <v>3</v>
      </c>
      <c r="W51" s="101">
        <f>600.28992-E51</f>
        <v>3.5300000001825538E-4</v>
      </c>
      <c r="X51" s="101">
        <f>600.28992-E51</f>
        <v>3.5300000001825538E-4</v>
      </c>
      <c r="Y51" s="101" t="s">
        <v>3</v>
      </c>
      <c r="Z51" s="98" t="s">
        <v>3</v>
      </c>
      <c r="AA51" s="99">
        <f>600.28992-E51</f>
        <v>3.5300000001825538E-4</v>
      </c>
      <c r="AB51" s="99" t="s">
        <v>3</v>
      </c>
      <c r="AC51" s="100" t="s">
        <v>3</v>
      </c>
      <c r="AD51" s="100" t="s">
        <v>3</v>
      </c>
      <c r="AE51" s="104">
        <f>600.29116-E51</f>
        <v>1.592999999957101E-3</v>
      </c>
      <c r="AF51" s="104" t="s">
        <v>3</v>
      </c>
      <c r="AG51" s="104">
        <f>600.29124-E51</f>
        <v>1.672999999982494E-3</v>
      </c>
      <c r="AH51" s="104" t="s">
        <v>3</v>
      </c>
      <c r="AI51" s="105">
        <v>-1.358E-3</v>
      </c>
      <c r="AJ51" s="105">
        <v>-2.4359999999999998E-3</v>
      </c>
      <c r="AK51" s="105">
        <v>-1.444E-3</v>
      </c>
      <c r="AL51" s="105" t="s">
        <v>3</v>
      </c>
      <c r="AM51" s="105" t="s">
        <v>3</v>
      </c>
      <c r="AN51" s="106" t="s">
        <v>3</v>
      </c>
      <c r="AO51" s="106" t="s">
        <v>3</v>
      </c>
      <c r="AP51" s="106" t="s">
        <v>3</v>
      </c>
      <c r="AQ51" s="106" t="s">
        <v>3</v>
      </c>
      <c r="AR51" s="106" t="s">
        <v>3</v>
      </c>
      <c r="AS51" s="107" t="s">
        <v>3</v>
      </c>
      <c r="AT51" s="107" t="s">
        <v>3</v>
      </c>
      <c r="AU51" s="107" t="s">
        <v>3</v>
      </c>
      <c r="AV51" s="107" t="s">
        <v>3</v>
      </c>
      <c r="AW51" s="108">
        <v>-2.2069999999985157E-3</v>
      </c>
      <c r="AX51" s="108" t="s">
        <v>3</v>
      </c>
      <c r="AY51" s="109">
        <v>-5.2700000003369496E-4</v>
      </c>
      <c r="AZ51" s="109" t="s">
        <v>3</v>
      </c>
      <c r="BA51" s="123" t="s">
        <v>3</v>
      </c>
    </row>
    <row r="52" spans="1:53" x14ac:dyDescent="0.25">
      <c r="A52" s="38">
        <v>49</v>
      </c>
      <c r="B52" s="139" t="s">
        <v>12</v>
      </c>
      <c r="C52" s="38" t="s">
        <v>139</v>
      </c>
      <c r="D52" s="38" t="s">
        <v>183</v>
      </c>
      <c r="E52" s="48">
        <v>581.24846500000001</v>
      </c>
      <c r="F52" s="102" t="s">
        <v>564</v>
      </c>
      <c r="G52" s="102" t="s">
        <v>564</v>
      </c>
      <c r="H52" s="102" t="s">
        <v>564</v>
      </c>
      <c r="I52" s="103" t="s">
        <v>3</v>
      </c>
      <c r="J52" s="103" t="s">
        <v>3</v>
      </c>
      <c r="K52" s="116">
        <v>8.52E-4</v>
      </c>
      <c r="L52" s="97" t="s">
        <v>3</v>
      </c>
      <c r="M52" s="97">
        <f>581.24707-581.24847</f>
        <v>-1.3999999999896318E-3</v>
      </c>
      <c r="N52" s="97">
        <f>581.24683-581.24847</f>
        <v>-1.6399999999521242E-3</v>
      </c>
      <c r="O52" s="97">
        <f>581.24701-581.24847</f>
        <v>-1.4599999999518332E-3</v>
      </c>
      <c r="P52" s="97">
        <f>581.24707-581.24847</f>
        <v>-1.3999999999896318E-3</v>
      </c>
      <c r="Q52" s="97">
        <f>581.24731-581.24847</f>
        <v>-1.1600000000271393E-3</v>
      </c>
      <c r="R52" s="97">
        <f>581.24628-581.24847</f>
        <v>-2.1900000000414366E-3</v>
      </c>
      <c r="S52" s="97">
        <f>581.24658-581.24847</f>
        <v>-1.8900000000030559E-3</v>
      </c>
      <c r="T52" s="97">
        <f>581.24658-581.24847</f>
        <v>-1.8900000000030559E-3</v>
      </c>
      <c r="U52" s="97">
        <f>581.24658-581.24847</f>
        <v>-1.8900000000030559E-3</v>
      </c>
      <c r="V52" s="97" t="s">
        <v>3</v>
      </c>
      <c r="W52" s="101" t="s">
        <v>564</v>
      </c>
      <c r="X52" s="101" t="s">
        <v>564</v>
      </c>
      <c r="Y52" s="101" t="s">
        <v>564</v>
      </c>
      <c r="Z52" s="98" t="s">
        <v>3</v>
      </c>
      <c r="AA52" s="99">
        <f>581.24878-581.24847</f>
        <v>3.100000000131331E-4</v>
      </c>
      <c r="AB52" s="99" t="s">
        <v>3</v>
      </c>
      <c r="AC52" s="100" t="s">
        <v>3</v>
      </c>
      <c r="AD52" s="100" t="s">
        <v>3</v>
      </c>
      <c r="AE52" s="104">
        <f>581.24886-E52</f>
        <v>3.9500000002590241E-4</v>
      </c>
      <c r="AF52" s="104" t="s">
        <v>3</v>
      </c>
      <c r="AG52" s="104">
        <f>581.24908-E52</f>
        <v>6.1500000003888999E-4</v>
      </c>
      <c r="AH52" s="104" t="s">
        <v>3</v>
      </c>
      <c r="AI52" s="105">
        <f>581.24829-581.24737</f>
        <v>9.1999999995096005E-4</v>
      </c>
      <c r="AJ52" s="105" t="s">
        <v>564</v>
      </c>
      <c r="AK52" s="105">
        <v>-6.5200000000000002E-4</v>
      </c>
      <c r="AL52" s="105">
        <v>-4.927E-3</v>
      </c>
      <c r="AM52" s="105" t="s">
        <v>564</v>
      </c>
      <c r="AN52" s="106" t="s">
        <v>564</v>
      </c>
      <c r="AO52" s="106" t="s">
        <v>564</v>
      </c>
      <c r="AP52" s="106" t="s">
        <v>564</v>
      </c>
      <c r="AQ52" s="106" t="s">
        <v>564</v>
      </c>
      <c r="AR52" s="106" t="s">
        <v>564</v>
      </c>
      <c r="AS52" s="107" t="s">
        <v>3</v>
      </c>
      <c r="AT52" s="107" t="s">
        <v>3</v>
      </c>
      <c r="AU52" s="107" t="s">
        <v>3</v>
      </c>
      <c r="AV52" s="107" t="s">
        <v>3</v>
      </c>
      <c r="AW52" s="108" t="s">
        <v>3</v>
      </c>
      <c r="AX52" s="108" t="s">
        <v>3</v>
      </c>
      <c r="AY52" s="109" t="s">
        <v>3</v>
      </c>
      <c r="AZ52" s="109" t="s">
        <v>3</v>
      </c>
      <c r="BA52" s="123" t="s">
        <v>3</v>
      </c>
    </row>
    <row r="53" spans="1:53" x14ac:dyDescent="0.25">
      <c r="A53" s="38">
        <v>50</v>
      </c>
      <c r="B53" s="139" t="s">
        <v>13</v>
      </c>
      <c r="C53" s="38" t="s">
        <v>138</v>
      </c>
      <c r="D53" s="38" t="s">
        <v>184</v>
      </c>
      <c r="E53" s="48">
        <v>644.31578200000001</v>
      </c>
      <c r="F53" s="102" t="s">
        <v>3</v>
      </c>
      <c r="G53" s="102" t="s">
        <v>3</v>
      </c>
      <c r="H53" s="102" t="s">
        <v>3</v>
      </c>
      <c r="I53" s="103" t="s">
        <v>3</v>
      </c>
      <c r="J53" s="103" t="s">
        <v>3</v>
      </c>
      <c r="K53" s="116" t="s">
        <v>3</v>
      </c>
      <c r="L53" s="97" t="s">
        <v>3</v>
      </c>
      <c r="M53" s="97">
        <f>644.31628-E53</f>
        <v>4.9799999999322608E-4</v>
      </c>
      <c r="N53" s="97">
        <f>644.31702-E53</f>
        <v>1.2379999999438951E-3</v>
      </c>
      <c r="O53" s="97">
        <f>644.31482-E53</f>
        <v>-9.6199999995860708E-4</v>
      </c>
      <c r="P53" s="97">
        <f>644.31488-E53</f>
        <v>-9.0199999999640568E-4</v>
      </c>
      <c r="Q53" s="97">
        <f>644.31738-E53</f>
        <v>1.5979999999444772E-3</v>
      </c>
      <c r="R53" s="97">
        <f>644.31653-E53</f>
        <v>7.4799999993047095E-4</v>
      </c>
      <c r="S53" s="97">
        <f>644.31451-E53</f>
        <v>-1.2719999999717402E-3</v>
      </c>
      <c r="T53" s="97">
        <f>644.31512-E53</f>
        <v>-6.6200000003391324E-4</v>
      </c>
      <c r="U53" s="97">
        <f>644.31519-E53</f>
        <v>-5.9199999998327257E-4</v>
      </c>
      <c r="V53" s="97" t="s">
        <v>3</v>
      </c>
      <c r="W53" s="101">
        <f>644.31653-E53</f>
        <v>7.4799999993047095E-4</v>
      </c>
      <c r="X53" s="101">
        <f>644.31622-E53</f>
        <v>4.3800000003102468E-4</v>
      </c>
      <c r="Y53" s="101" t="s">
        <v>3</v>
      </c>
      <c r="Z53" s="98" t="s">
        <v>3</v>
      </c>
      <c r="AA53" s="99">
        <f>644.31598-E53</f>
        <v>1.9799999995484541E-4</v>
      </c>
      <c r="AB53" s="99" t="s">
        <v>3</v>
      </c>
      <c r="AC53" s="100" t="s">
        <v>3</v>
      </c>
      <c r="AD53" s="100" t="s">
        <v>3</v>
      </c>
      <c r="AE53" s="104">
        <f>644.31623-E53</f>
        <v>4.4800000000577711E-4</v>
      </c>
      <c r="AF53" s="104" t="s">
        <v>3</v>
      </c>
      <c r="AG53" s="104">
        <f>644.31656-E53</f>
        <v>7.7799999996841507E-4</v>
      </c>
      <c r="AH53" s="104" t="s">
        <v>3</v>
      </c>
      <c r="AI53" s="105">
        <v>-1.1919999999999999E-3</v>
      </c>
      <c r="AJ53" s="105" t="s">
        <v>3</v>
      </c>
      <c r="AK53" s="105">
        <v>2.61E-4</v>
      </c>
      <c r="AL53" s="105" t="s">
        <v>3</v>
      </c>
      <c r="AM53" s="105" t="s">
        <v>3</v>
      </c>
      <c r="AN53" s="106" t="s">
        <v>3</v>
      </c>
      <c r="AO53" s="106" t="s">
        <v>3</v>
      </c>
      <c r="AP53" s="106" t="s">
        <v>3</v>
      </c>
      <c r="AQ53" s="106" t="s">
        <v>3</v>
      </c>
      <c r="AR53" s="106" t="s">
        <v>3</v>
      </c>
      <c r="AS53" s="107" t="s">
        <v>3</v>
      </c>
      <c r="AT53" s="107" t="s">
        <v>3</v>
      </c>
      <c r="AU53" s="107" t="s">
        <v>3</v>
      </c>
      <c r="AV53" s="107" t="s">
        <v>3</v>
      </c>
      <c r="AW53" s="108">
        <v>-1.4320000000225264E-3</v>
      </c>
      <c r="AX53" s="108" t="s">
        <v>3</v>
      </c>
      <c r="AY53" s="109">
        <v>-7.6200000000881118E-4</v>
      </c>
      <c r="AZ53" s="109" t="s">
        <v>3</v>
      </c>
      <c r="BA53" s="123" t="s">
        <v>3</v>
      </c>
    </row>
    <row r="54" spans="1:53" x14ac:dyDescent="0.25">
      <c r="A54" s="38">
        <v>51</v>
      </c>
      <c r="B54" s="139" t="s">
        <v>13</v>
      </c>
      <c r="C54" s="38" t="s">
        <v>139</v>
      </c>
      <c r="D54" s="38" t="s">
        <v>184</v>
      </c>
      <c r="E54" s="48">
        <v>625.27467999999999</v>
      </c>
      <c r="F54" s="102" t="s">
        <v>564</v>
      </c>
      <c r="G54" s="102" t="s">
        <v>564</v>
      </c>
      <c r="H54" s="102" t="s">
        <v>564</v>
      </c>
      <c r="I54" s="103" t="s">
        <v>3</v>
      </c>
      <c r="J54" s="103" t="s">
        <v>3</v>
      </c>
      <c r="K54" s="116">
        <f>625.27692-625.2747</f>
        <v>2.2199999999656939E-3</v>
      </c>
      <c r="L54" s="97" t="s">
        <v>3</v>
      </c>
      <c r="M54" s="97">
        <f>625.27289-625.27468</f>
        <v>-1.790000000028158E-3</v>
      </c>
      <c r="N54" s="97">
        <f>625.27301-625.27468</f>
        <v>-1.6699999999900683E-3</v>
      </c>
      <c r="O54" s="97">
        <f>625.27332-625.27468</f>
        <v>-1.3599999999769352E-3</v>
      </c>
      <c r="P54" s="97">
        <f>625.27307-625.27468</f>
        <v>-1.6100000000278669E-3</v>
      </c>
      <c r="Q54" s="97">
        <f>625.27283-625.27468</f>
        <v>-1.8499999999903594E-3</v>
      </c>
      <c r="R54" s="97">
        <f>625.27289-625.27468</f>
        <v>-1.790000000028158E-3</v>
      </c>
      <c r="S54" s="97">
        <f>625.27258-625.27468</f>
        <v>-2.1000000000412911E-3</v>
      </c>
      <c r="T54" s="97">
        <f>625.27258-625.27468</f>
        <v>-2.1000000000412911E-3</v>
      </c>
      <c r="U54" s="97">
        <f>625.27289-625.27468</f>
        <v>-1.790000000028158E-3</v>
      </c>
      <c r="V54" s="97" t="s">
        <v>3</v>
      </c>
      <c r="W54" s="101" t="s">
        <v>564</v>
      </c>
      <c r="X54" s="101" t="s">
        <v>564</v>
      </c>
      <c r="Y54" s="101" t="s">
        <v>564</v>
      </c>
      <c r="Z54" s="98" t="s">
        <v>3</v>
      </c>
      <c r="AA54" s="99">
        <f>625.27478-625.27468</f>
        <v>9.9999999974897946E-5</v>
      </c>
      <c r="AB54" s="99" t="s">
        <v>3</v>
      </c>
      <c r="AC54" s="100" t="s">
        <v>3</v>
      </c>
      <c r="AD54" s="100" t="s">
        <v>3</v>
      </c>
      <c r="AE54" s="104">
        <f>625.27461-E54</f>
        <v>-6.9999999936953827E-5</v>
      </c>
      <c r="AF54" s="104" t="s">
        <v>3</v>
      </c>
      <c r="AG54" s="104">
        <f>625.27486-E54</f>
        <v>1.8000000000029104E-4</v>
      </c>
      <c r="AH54" s="104" t="s">
        <v>3</v>
      </c>
      <c r="AI54" s="105">
        <f>625.281-625.28482</f>
        <v>-3.8200000000188084E-3</v>
      </c>
      <c r="AJ54" s="105" t="s">
        <v>564</v>
      </c>
      <c r="AK54" s="105">
        <v>-2.7590000000000002E-3</v>
      </c>
      <c r="AL54" s="105">
        <v>-1.0189999999999999E-3</v>
      </c>
      <c r="AM54" s="105" t="s">
        <v>564</v>
      </c>
      <c r="AN54" s="106" t="s">
        <v>564</v>
      </c>
      <c r="AO54" s="106" t="s">
        <v>564</v>
      </c>
      <c r="AP54" s="106" t="s">
        <v>564</v>
      </c>
      <c r="AQ54" s="106" t="s">
        <v>564</v>
      </c>
      <c r="AR54" s="106" t="s">
        <v>564</v>
      </c>
      <c r="AS54" s="107" t="s">
        <v>3</v>
      </c>
      <c r="AT54" s="107" t="s">
        <v>3</v>
      </c>
      <c r="AU54" s="107" t="s">
        <v>3</v>
      </c>
      <c r="AV54" s="107" t="s">
        <v>3</v>
      </c>
      <c r="AW54" s="108" t="s">
        <v>3</v>
      </c>
      <c r="AX54" s="108" t="s">
        <v>3</v>
      </c>
      <c r="AY54" s="109" t="s">
        <v>3</v>
      </c>
      <c r="AZ54" s="109" t="s">
        <v>3</v>
      </c>
      <c r="BA54" s="123" t="s">
        <v>3</v>
      </c>
    </row>
    <row r="55" spans="1:53" x14ac:dyDescent="0.25">
      <c r="A55" s="38">
        <v>52</v>
      </c>
      <c r="B55" s="139" t="s">
        <v>14</v>
      </c>
      <c r="C55" s="38" t="s">
        <v>138</v>
      </c>
      <c r="D55" s="38" t="s">
        <v>185</v>
      </c>
      <c r="E55" s="48">
        <v>688.34199699999999</v>
      </c>
      <c r="F55" s="102" t="s">
        <v>3</v>
      </c>
      <c r="G55" s="102" t="s">
        <v>3</v>
      </c>
      <c r="H55" s="102" t="s">
        <v>3</v>
      </c>
      <c r="I55" s="103" t="s">
        <v>3</v>
      </c>
      <c r="J55" s="103" t="s">
        <v>3</v>
      </c>
      <c r="K55" s="116" t="s">
        <v>3</v>
      </c>
      <c r="L55" s="97" t="s">
        <v>3</v>
      </c>
      <c r="M55" s="97">
        <f>688.34412-E55</f>
        <v>2.1229999999832216E-3</v>
      </c>
      <c r="N55" s="97">
        <f>688.34253-E55</f>
        <v>5.3300000001854642E-4</v>
      </c>
      <c r="O55" s="97">
        <f>688.33978-E55</f>
        <v>-2.2169999999732681E-3</v>
      </c>
      <c r="P55" s="97">
        <f>688.34003-E55</f>
        <v>-1.9670000000360233E-3</v>
      </c>
      <c r="Q55" s="97">
        <f>688.34253-E55</f>
        <v>5.3300000001854642E-4</v>
      </c>
      <c r="R55" s="97">
        <f>688.34137-E55</f>
        <v>-6.2700000000859291E-4</v>
      </c>
      <c r="S55" s="97">
        <f>688.34088-E55</f>
        <v>-1.117000000022017E-3</v>
      </c>
      <c r="T55" s="97">
        <f>688.34003-E55</f>
        <v>-1.9670000000360233E-3</v>
      </c>
      <c r="U55" s="97">
        <f>688.34119-E55</f>
        <v>-8.0700000000888394E-4</v>
      </c>
      <c r="V55" s="97" t="s">
        <v>3</v>
      </c>
      <c r="W55" s="101" t="s">
        <v>3</v>
      </c>
      <c r="X55" s="101">
        <f>688.34308-E55</f>
        <v>1.082999999994172E-3</v>
      </c>
      <c r="Y55" s="101" t="s">
        <v>3</v>
      </c>
      <c r="Z55" s="98" t="s">
        <v>3</v>
      </c>
      <c r="AA55" s="99">
        <f>688.34222-E55</f>
        <v>2.2300000000541331E-4</v>
      </c>
      <c r="AB55" s="99" t="s">
        <v>3</v>
      </c>
      <c r="AC55" s="100" t="s">
        <v>3</v>
      </c>
      <c r="AD55" s="100" t="s">
        <v>3</v>
      </c>
      <c r="AE55" s="104">
        <f>688.34248-E55</f>
        <v>4.8300000003109744E-4</v>
      </c>
      <c r="AF55" s="104" t="s">
        <v>3</v>
      </c>
      <c r="AG55" s="104">
        <f>688.34045-E55</f>
        <v>-1.546999999959553E-3</v>
      </c>
      <c r="AH55" s="104" t="s">
        <v>3</v>
      </c>
      <c r="AI55" s="105">
        <v>-2.7959999999999999E-3</v>
      </c>
      <c r="AJ55" s="105" t="s">
        <v>3</v>
      </c>
      <c r="AK55" s="105">
        <v>-4.0969999999999999E-3</v>
      </c>
      <c r="AL55" s="105" t="s">
        <v>3</v>
      </c>
      <c r="AM55" s="105" t="s">
        <v>3</v>
      </c>
      <c r="AN55" s="106" t="s">
        <v>3</v>
      </c>
      <c r="AO55" s="106" t="s">
        <v>3</v>
      </c>
      <c r="AP55" s="106" t="s">
        <v>3</v>
      </c>
      <c r="AQ55" s="106" t="s">
        <v>3</v>
      </c>
      <c r="AR55" s="106" t="s">
        <v>3</v>
      </c>
      <c r="AS55" s="107" t="s">
        <v>3</v>
      </c>
      <c r="AT55" s="107" t="s">
        <v>3</v>
      </c>
      <c r="AU55" s="107" t="s">
        <v>3</v>
      </c>
      <c r="AV55" s="107" t="s">
        <v>3</v>
      </c>
      <c r="AW55" s="108" t="s">
        <v>3</v>
      </c>
      <c r="AX55" s="108" t="s">
        <v>3</v>
      </c>
      <c r="AY55" s="109" t="s">
        <v>3</v>
      </c>
      <c r="AZ55" s="109" t="s">
        <v>3</v>
      </c>
      <c r="BA55" s="123" t="s">
        <v>3</v>
      </c>
    </row>
    <row r="56" spans="1:53" x14ac:dyDescent="0.25">
      <c r="A56" s="38">
        <v>53</v>
      </c>
      <c r="B56" s="139" t="s">
        <v>14</v>
      </c>
      <c r="C56" s="38" t="s">
        <v>139</v>
      </c>
      <c r="D56" s="38" t="s">
        <v>185</v>
      </c>
      <c r="E56" s="48">
        <v>669.30089499999997</v>
      </c>
      <c r="F56" s="102" t="s">
        <v>564</v>
      </c>
      <c r="G56" s="102" t="s">
        <v>564</v>
      </c>
      <c r="H56" s="102" t="s">
        <v>564</v>
      </c>
      <c r="I56" s="103" t="s">
        <v>3</v>
      </c>
      <c r="J56" s="103" t="s">
        <v>3</v>
      </c>
      <c r="K56" s="116">
        <f>669.29993-669.3009</f>
        <v>-9.6999999993840902E-4</v>
      </c>
      <c r="L56" s="97" t="s">
        <v>3</v>
      </c>
      <c r="M56" s="97">
        <f>669.3009-669.30089</f>
        <v>9.9999999747524271E-6</v>
      </c>
      <c r="N56" s="97">
        <f>669.29962-669.30089</f>
        <v>-1.2699999999767897E-3</v>
      </c>
      <c r="O56" s="97">
        <f>669.29938-669.30089</f>
        <v>-1.5099999999392821E-3</v>
      </c>
      <c r="P56" s="97">
        <f>669.29907-669.30089</f>
        <v>-1.8199999999524152E-3</v>
      </c>
      <c r="Q56" s="97">
        <f>669.29968-669.30089</f>
        <v>-1.2100000000145883E-3</v>
      </c>
      <c r="R56" s="97">
        <f>669.29822-669.30089</f>
        <v>-2.6699999999664215E-3</v>
      </c>
      <c r="S56" s="97">
        <f>669.29919-669.30089</f>
        <v>-1.7000000000280124E-3</v>
      </c>
      <c r="T56" s="97">
        <f>669.29871-669.30089</f>
        <v>-2.1799999999529973E-3</v>
      </c>
      <c r="U56" s="97">
        <f>669.29883-669.30089</f>
        <v>-2.0600000000285945E-3</v>
      </c>
      <c r="V56" s="97" t="s">
        <v>3</v>
      </c>
      <c r="W56" s="101" t="s">
        <v>564</v>
      </c>
      <c r="X56" s="101" t="s">
        <v>564</v>
      </c>
      <c r="Y56" s="101" t="s">
        <v>564</v>
      </c>
      <c r="Z56" s="98" t="s">
        <v>3</v>
      </c>
      <c r="AA56" s="99">
        <f>669.30151-669.30089</f>
        <v>6.2000000002626621E-4</v>
      </c>
      <c r="AB56" s="99" t="s">
        <v>3</v>
      </c>
      <c r="AC56" s="100" t="s">
        <v>3</v>
      </c>
      <c r="AD56" s="100" t="s">
        <v>3</v>
      </c>
      <c r="AE56" s="104">
        <f>669.30068-E56</f>
        <v>-2.1499999991192453E-4</v>
      </c>
      <c r="AF56" s="104" t="s">
        <v>3</v>
      </c>
      <c r="AG56" s="104">
        <f>669.29777-E56</f>
        <v>-3.1249999999545253E-3</v>
      </c>
      <c r="AH56" s="104" t="s">
        <v>3</v>
      </c>
      <c r="AI56" s="105" t="s">
        <v>3</v>
      </c>
      <c r="AJ56" s="105" t="s">
        <v>564</v>
      </c>
      <c r="AK56" s="105">
        <v>-6.9999999999999999E-6</v>
      </c>
      <c r="AL56" s="105">
        <v>-3.0000000000000001E-6</v>
      </c>
      <c r="AM56" s="105" t="s">
        <v>564</v>
      </c>
      <c r="AN56" s="106" t="s">
        <v>564</v>
      </c>
      <c r="AO56" s="106" t="s">
        <v>564</v>
      </c>
      <c r="AP56" s="106" t="s">
        <v>564</v>
      </c>
      <c r="AQ56" s="106" t="s">
        <v>564</v>
      </c>
      <c r="AR56" s="106" t="s">
        <v>564</v>
      </c>
      <c r="AS56" s="107" t="s">
        <v>3</v>
      </c>
      <c r="AT56" s="107" t="s">
        <v>3</v>
      </c>
      <c r="AU56" s="107" t="s">
        <v>3</v>
      </c>
      <c r="AV56" s="107" t="s">
        <v>3</v>
      </c>
      <c r="AW56" s="108" t="s">
        <v>3</v>
      </c>
      <c r="AX56" s="108" t="s">
        <v>3</v>
      </c>
      <c r="AY56" s="109" t="s">
        <v>3</v>
      </c>
      <c r="AZ56" s="109" t="s">
        <v>3</v>
      </c>
      <c r="BA56" s="123" t="s">
        <v>3</v>
      </c>
    </row>
    <row r="57" spans="1:53" x14ac:dyDescent="0.25">
      <c r="A57" s="38">
        <v>54</v>
      </c>
      <c r="B57" s="139" t="s">
        <v>15</v>
      </c>
      <c r="C57" s="38" t="s">
        <v>138</v>
      </c>
      <c r="D57" s="38" t="s">
        <v>186</v>
      </c>
      <c r="E57" s="48">
        <v>732.36821199999997</v>
      </c>
      <c r="F57" s="102" t="s">
        <v>3</v>
      </c>
      <c r="G57" s="102" t="s">
        <v>3</v>
      </c>
      <c r="H57" s="102" t="s">
        <v>3</v>
      </c>
      <c r="I57" s="103" t="s">
        <v>3</v>
      </c>
      <c r="J57" s="103" t="s">
        <v>3</v>
      </c>
      <c r="K57" s="116" t="s">
        <v>3</v>
      </c>
      <c r="L57" s="97" t="s">
        <v>3</v>
      </c>
      <c r="M57" s="97" t="s">
        <v>3</v>
      </c>
      <c r="N57" s="97">
        <f>732.36938-E57</f>
        <v>1.1680000000069413E-3</v>
      </c>
      <c r="O57" s="97">
        <f>732.36853-E57</f>
        <v>3.1799999999293505E-4</v>
      </c>
      <c r="P57" s="97">
        <f>732.36517-E57</f>
        <v>-3.0419999999367064E-3</v>
      </c>
      <c r="Q57" s="97" t="s">
        <v>3</v>
      </c>
      <c r="R57" s="97">
        <f>732.36652-E57</f>
        <v>-1.6919999999345237E-3</v>
      </c>
      <c r="S57" s="97">
        <f>732.36688-E57</f>
        <v>-1.3319999999339416E-3</v>
      </c>
      <c r="T57" s="97">
        <f>732.36609-E57</f>
        <v>-2.1219999999857464E-3</v>
      </c>
      <c r="U57" s="97">
        <f>732.36719-E57</f>
        <v>-1.0219999999208085E-3</v>
      </c>
      <c r="V57" s="97" t="s">
        <v>3</v>
      </c>
      <c r="W57" s="101" t="s">
        <v>3</v>
      </c>
      <c r="X57" s="101" t="s">
        <v>3</v>
      </c>
      <c r="Y57" s="101" t="s">
        <v>3</v>
      </c>
      <c r="Z57" s="98" t="s">
        <v>3</v>
      </c>
      <c r="AA57" s="99">
        <f>732.36859-E57</f>
        <v>3.7800000006882328E-4</v>
      </c>
      <c r="AB57" s="99" t="s">
        <v>3</v>
      </c>
      <c r="AC57" s="100" t="s">
        <v>3</v>
      </c>
      <c r="AD57" s="100" t="s">
        <v>3</v>
      </c>
      <c r="AE57" s="104">
        <f>732.37205-E57</f>
        <v>3.8379999999733627E-3</v>
      </c>
      <c r="AF57" s="104" t="s">
        <v>3</v>
      </c>
      <c r="AG57" s="104" t="s">
        <v>3</v>
      </c>
      <c r="AH57" s="104" t="s">
        <v>3</v>
      </c>
      <c r="AI57" s="105" t="s">
        <v>3</v>
      </c>
      <c r="AJ57" s="105" t="s">
        <v>3</v>
      </c>
      <c r="AK57" s="105">
        <v>4.6999999999999999E-4</v>
      </c>
      <c r="AL57" s="105" t="s">
        <v>3</v>
      </c>
      <c r="AM57" s="105" t="s">
        <v>3</v>
      </c>
      <c r="AN57" s="106" t="s">
        <v>3</v>
      </c>
      <c r="AO57" s="106" t="s">
        <v>3</v>
      </c>
      <c r="AP57" s="106" t="s">
        <v>3</v>
      </c>
      <c r="AQ57" s="106" t="s">
        <v>3</v>
      </c>
      <c r="AR57" s="106" t="s">
        <v>3</v>
      </c>
      <c r="AS57" s="107" t="s">
        <v>3</v>
      </c>
      <c r="AT57" s="107" t="s">
        <v>3</v>
      </c>
      <c r="AU57" s="107" t="s">
        <v>3</v>
      </c>
      <c r="AV57" s="107" t="s">
        <v>3</v>
      </c>
      <c r="AW57" s="108" t="s">
        <v>3</v>
      </c>
      <c r="AX57" s="108" t="s">
        <v>3</v>
      </c>
      <c r="AY57" s="109" t="s">
        <v>3</v>
      </c>
      <c r="AZ57" s="109" t="s">
        <v>3</v>
      </c>
      <c r="BA57" s="123" t="s">
        <v>3</v>
      </c>
    </row>
    <row r="58" spans="1:53" x14ac:dyDescent="0.25">
      <c r="A58" s="38">
        <v>55</v>
      </c>
      <c r="B58" s="139" t="s">
        <v>15</v>
      </c>
      <c r="C58" s="38" t="s">
        <v>139</v>
      </c>
      <c r="D58" s="38" t="s">
        <v>186</v>
      </c>
      <c r="E58" s="48">
        <v>713.32710999999995</v>
      </c>
      <c r="F58" s="102" t="s">
        <v>564</v>
      </c>
      <c r="G58" s="102" t="s">
        <v>564</v>
      </c>
      <c r="H58" s="102" t="s">
        <v>564</v>
      </c>
      <c r="I58" s="103" t="s">
        <v>3</v>
      </c>
      <c r="J58" s="103" t="s">
        <v>3</v>
      </c>
      <c r="K58" s="116" t="s">
        <v>3</v>
      </c>
      <c r="L58" s="97" t="s">
        <v>3</v>
      </c>
      <c r="M58" s="97">
        <f>713.32642-713.32711</f>
        <v>-6.8999999996322003E-4</v>
      </c>
      <c r="N58" s="97">
        <f>713.32428-713.32711</f>
        <v>-2.8299999999035208E-3</v>
      </c>
      <c r="O58" s="97">
        <f>713.32562-713.32711</f>
        <v>-1.4899999999897773E-3</v>
      </c>
      <c r="P58" s="97">
        <f>713.3255-713.32711</f>
        <v>-1.6099999999141801E-3</v>
      </c>
      <c r="Q58" s="97">
        <f>713.3252-713.32711</f>
        <v>-1.9099999999525608E-3</v>
      </c>
      <c r="R58" s="97">
        <f>713.3252-713.32711</f>
        <v>-1.9099999999525608E-3</v>
      </c>
      <c r="S58" s="97">
        <f>713.3252-713.32711</f>
        <v>-1.9099999999525608E-3</v>
      </c>
      <c r="T58" s="97">
        <f>713.32483-713.32711</f>
        <v>-2.2799999999278953E-3</v>
      </c>
      <c r="U58" s="97">
        <f>713.32483-713.32711</f>
        <v>-2.2799999999278953E-3</v>
      </c>
      <c r="V58" s="97" t="s">
        <v>3</v>
      </c>
      <c r="W58" s="101" t="s">
        <v>564</v>
      </c>
      <c r="X58" s="101" t="s">
        <v>564</v>
      </c>
      <c r="Y58" s="101" t="s">
        <v>564</v>
      </c>
      <c r="Z58" s="98" t="s">
        <v>3</v>
      </c>
      <c r="AA58" s="99">
        <f>713.32709-713.32711</f>
        <v>-1.9999999949504854E-5</v>
      </c>
      <c r="AB58" s="99" t="s">
        <v>3</v>
      </c>
      <c r="AC58" s="100" t="s">
        <v>3</v>
      </c>
      <c r="AD58" s="100" t="s">
        <v>3</v>
      </c>
      <c r="AE58" s="104">
        <f>713.32512-E58</f>
        <v>-1.9899999999779538E-3</v>
      </c>
      <c r="AF58" s="104" t="s">
        <v>3</v>
      </c>
      <c r="AG58" s="104">
        <f>713.33141-E58</f>
        <v>4.3000000000574801E-3</v>
      </c>
      <c r="AH58" s="104" t="s">
        <v>3</v>
      </c>
      <c r="AI58" s="105" t="s">
        <v>3</v>
      </c>
      <c r="AJ58" s="105" t="s">
        <v>564</v>
      </c>
      <c r="AK58" s="105">
        <v>-3.673E-3</v>
      </c>
      <c r="AL58" s="105">
        <v>-5.1419999999999999E-3</v>
      </c>
      <c r="AM58" s="105" t="s">
        <v>564</v>
      </c>
      <c r="AN58" s="106" t="s">
        <v>564</v>
      </c>
      <c r="AO58" s="106" t="s">
        <v>564</v>
      </c>
      <c r="AP58" s="106" t="s">
        <v>564</v>
      </c>
      <c r="AQ58" s="106" t="s">
        <v>564</v>
      </c>
      <c r="AR58" s="106" t="s">
        <v>564</v>
      </c>
      <c r="AS58" s="107" t="s">
        <v>3</v>
      </c>
      <c r="AT58" s="107" t="s">
        <v>3</v>
      </c>
      <c r="AU58" s="107" t="s">
        <v>3</v>
      </c>
      <c r="AV58" s="107" t="s">
        <v>3</v>
      </c>
      <c r="AW58" s="108" t="s">
        <v>3</v>
      </c>
      <c r="AX58" s="108" t="s">
        <v>3</v>
      </c>
      <c r="AY58" s="109" t="s">
        <v>3</v>
      </c>
      <c r="AZ58" s="109" t="s">
        <v>3</v>
      </c>
      <c r="BA58" s="123" t="s">
        <v>3</v>
      </c>
    </row>
    <row r="59" spans="1:53" x14ac:dyDescent="0.25">
      <c r="A59" s="38">
        <v>56</v>
      </c>
      <c r="B59" s="139" t="s">
        <v>16</v>
      </c>
      <c r="C59" s="38" t="s">
        <v>138</v>
      </c>
      <c r="D59" s="38" t="s">
        <v>187</v>
      </c>
      <c r="E59" s="48">
        <v>776.39442599999995</v>
      </c>
      <c r="F59" s="102" t="s">
        <v>3</v>
      </c>
      <c r="G59" s="102" t="s">
        <v>3</v>
      </c>
      <c r="H59" s="102" t="s">
        <v>3</v>
      </c>
      <c r="I59" s="103" t="s">
        <v>3</v>
      </c>
      <c r="J59" s="103" t="s">
        <v>3</v>
      </c>
      <c r="K59" s="116" t="s">
        <v>3</v>
      </c>
      <c r="L59" s="97" t="s">
        <v>3</v>
      </c>
      <c r="M59" s="97" t="s">
        <v>3</v>
      </c>
      <c r="N59" s="97">
        <f>776.39648-E59</f>
        <v>2.0540000000437431E-3</v>
      </c>
      <c r="O59" s="97" t="s">
        <v>3</v>
      </c>
      <c r="P59" s="97">
        <f>776.39221-E59</f>
        <v>-2.2159999999757929E-3</v>
      </c>
      <c r="Q59" s="97" t="s">
        <v>3</v>
      </c>
      <c r="R59" s="97">
        <f>776.39539-E59</f>
        <v>9.640000000672444E-4</v>
      </c>
      <c r="S59" s="97">
        <f>776.39313-E59</f>
        <v>-1.295999999911146E-3</v>
      </c>
      <c r="T59" s="97">
        <f>776.39142-E59</f>
        <v>-3.0059999999139109E-3</v>
      </c>
      <c r="U59" s="97">
        <f>776.3924-E59</f>
        <v>-2.0260000000007494E-3</v>
      </c>
      <c r="V59" s="97" t="s">
        <v>3</v>
      </c>
      <c r="W59" s="101" t="s">
        <v>3</v>
      </c>
      <c r="X59" s="101" t="s">
        <v>3</v>
      </c>
      <c r="Y59" s="101" t="s">
        <v>3</v>
      </c>
      <c r="Z59" s="98" t="s">
        <v>3</v>
      </c>
      <c r="AA59" s="99">
        <f>776.39648-E59</f>
        <v>2.0540000000437431E-3</v>
      </c>
      <c r="AB59" s="99" t="s">
        <v>3</v>
      </c>
      <c r="AC59" s="100" t="s">
        <v>3</v>
      </c>
      <c r="AD59" s="100" t="s">
        <v>3</v>
      </c>
      <c r="AE59" s="104" t="s">
        <v>3</v>
      </c>
      <c r="AF59" s="104" t="s">
        <v>3</v>
      </c>
      <c r="AG59" s="104" t="s">
        <v>3</v>
      </c>
      <c r="AH59" s="104" t="s">
        <v>3</v>
      </c>
      <c r="AI59" s="105" t="s">
        <v>3</v>
      </c>
      <c r="AJ59" s="105" t="s">
        <v>3</v>
      </c>
      <c r="AK59" s="105">
        <v>-3.3960000000000001E-3</v>
      </c>
      <c r="AL59" s="105" t="s">
        <v>3</v>
      </c>
      <c r="AM59" s="105" t="s">
        <v>3</v>
      </c>
      <c r="AN59" s="106" t="s">
        <v>3</v>
      </c>
      <c r="AO59" s="106" t="s">
        <v>3</v>
      </c>
      <c r="AP59" s="106" t="s">
        <v>3</v>
      </c>
      <c r="AQ59" s="106" t="s">
        <v>3</v>
      </c>
      <c r="AR59" s="106" t="s">
        <v>3</v>
      </c>
      <c r="AS59" s="107" t="s">
        <v>3</v>
      </c>
      <c r="AT59" s="107" t="s">
        <v>3</v>
      </c>
      <c r="AU59" s="107" t="s">
        <v>3</v>
      </c>
      <c r="AV59" s="107" t="s">
        <v>3</v>
      </c>
      <c r="AW59" s="108" t="s">
        <v>3</v>
      </c>
      <c r="AX59" s="108" t="s">
        <v>3</v>
      </c>
      <c r="AY59" s="109" t="s">
        <v>3</v>
      </c>
      <c r="AZ59" s="109" t="s">
        <v>3</v>
      </c>
      <c r="BA59" s="123" t="s">
        <v>3</v>
      </c>
    </row>
    <row r="60" spans="1:53" x14ac:dyDescent="0.25">
      <c r="A60" s="38">
        <v>57</v>
      </c>
      <c r="B60" s="139" t="s">
        <v>16</v>
      </c>
      <c r="C60" s="38" t="s">
        <v>139</v>
      </c>
      <c r="D60" s="38" t="s">
        <v>187</v>
      </c>
      <c r="E60" s="48">
        <v>757.35332400000004</v>
      </c>
      <c r="F60" s="102" t="s">
        <v>564</v>
      </c>
      <c r="G60" s="102" t="s">
        <v>564</v>
      </c>
      <c r="H60" s="102" t="s">
        <v>564</v>
      </c>
      <c r="I60" s="103" t="s">
        <v>3</v>
      </c>
      <c r="J60" s="103" t="s">
        <v>3</v>
      </c>
      <c r="K60" s="116" t="s">
        <v>3</v>
      </c>
      <c r="L60" s="97" t="s">
        <v>3</v>
      </c>
      <c r="M60" s="97">
        <f>757.34998-757.35332</f>
        <v>-3.3400000000938235E-3</v>
      </c>
      <c r="N60" s="97">
        <f>757.34979-757.35332</f>
        <v>-3.5300000000688669E-3</v>
      </c>
      <c r="O60" s="97">
        <f>757.35101-757.35332</f>
        <v>-2.3100000000795262E-3</v>
      </c>
      <c r="P60" s="97">
        <f>757.35168-757.35332</f>
        <v>-1.640000000065811E-3</v>
      </c>
      <c r="Q60" s="97">
        <f>757.35107-757.35332</f>
        <v>-2.250000000003638E-3</v>
      </c>
      <c r="R60" s="97">
        <f>757.35193-757.35332</f>
        <v>-1.3900000000148793E-3</v>
      </c>
      <c r="S60" s="97">
        <f>757.3515-757.35332</f>
        <v>-1.8200000000661021E-3</v>
      </c>
      <c r="T60" s="97">
        <f>757.34833-757.35332</f>
        <v>-4.9900000000207001E-3</v>
      </c>
      <c r="U60" s="97">
        <f>757.35089-757.35332</f>
        <v>-2.430000000003929E-3</v>
      </c>
      <c r="V60" s="97" t="s">
        <v>3</v>
      </c>
      <c r="W60" s="101" t="s">
        <v>564</v>
      </c>
      <c r="X60" s="101" t="s">
        <v>564</v>
      </c>
      <c r="Y60" s="101" t="s">
        <v>564</v>
      </c>
      <c r="Z60" s="98" t="s">
        <v>3</v>
      </c>
      <c r="AA60" s="99">
        <f>757.35419-757.35332</f>
        <v>8.6999999996351107E-4</v>
      </c>
      <c r="AB60" s="99" t="s">
        <v>3</v>
      </c>
      <c r="AC60" s="100" t="s">
        <v>3</v>
      </c>
      <c r="AD60" s="100" t="s">
        <v>3</v>
      </c>
      <c r="AE60" s="104">
        <f>757.35088-E60</f>
        <v>-2.4440000000822693E-3</v>
      </c>
      <c r="AF60" s="104" t="s">
        <v>3</v>
      </c>
      <c r="AG60" s="104">
        <f>757.35453-E60</f>
        <v>1.2059999999110005E-3</v>
      </c>
      <c r="AH60" s="104" t="s">
        <v>3</v>
      </c>
      <c r="AI60" s="105" t="s">
        <v>3</v>
      </c>
      <c r="AJ60" s="105" t="s">
        <v>564</v>
      </c>
      <c r="AK60" s="105">
        <v>1.9189999999999999E-3</v>
      </c>
      <c r="AL60" s="105">
        <v>3.3399999999999999E-4</v>
      </c>
      <c r="AM60" s="105" t="s">
        <v>564</v>
      </c>
      <c r="AN60" s="106" t="s">
        <v>564</v>
      </c>
      <c r="AO60" s="106" t="s">
        <v>564</v>
      </c>
      <c r="AP60" s="106" t="s">
        <v>564</v>
      </c>
      <c r="AQ60" s="106" t="s">
        <v>564</v>
      </c>
      <c r="AR60" s="106" t="s">
        <v>564</v>
      </c>
      <c r="AS60" s="107" t="s">
        <v>3</v>
      </c>
      <c r="AT60" s="107" t="s">
        <v>3</v>
      </c>
      <c r="AU60" s="107" t="s">
        <v>3</v>
      </c>
      <c r="AV60" s="107" t="s">
        <v>3</v>
      </c>
      <c r="AW60" s="108" t="s">
        <v>3</v>
      </c>
      <c r="AX60" s="108" t="s">
        <v>3</v>
      </c>
      <c r="AY60" s="109" t="s">
        <v>3</v>
      </c>
      <c r="AZ60" s="109" t="s">
        <v>3</v>
      </c>
      <c r="BA60" s="123" t="s">
        <v>3</v>
      </c>
    </row>
    <row r="61" spans="1:53" x14ac:dyDescent="0.25">
      <c r="A61" s="38">
        <v>58</v>
      </c>
      <c r="B61" s="139" t="s">
        <v>17</v>
      </c>
      <c r="C61" s="38" t="s">
        <v>138</v>
      </c>
      <c r="D61" s="38" t="s">
        <v>188</v>
      </c>
      <c r="E61" s="48">
        <v>820.42064100000005</v>
      </c>
      <c r="F61" s="102" t="s">
        <v>3</v>
      </c>
      <c r="G61" s="102" t="s">
        <v>3</v>
      </c>
      <c r="H61" s="102" t="s">
        <v>3</v>
      </c>
      <c r="I61" s="103" t="s">
        <v>3</v>
      </c>
      <c r="J61" s="103" t="s">
        <v>3</v>
      </c>
      <c r="K61" s="116" t="s">
        <v>3</v>
      </c>
      <c r="L61" s="97" t="s">
        <v>3</v>
      </c>
      <c r="M61" s="97" t="s">
        <v>3</v>
      </c>
      <c r="N61" s="97" t="s">
        <v>3</v>
      </c>
      <c r="O61" s="97" t="s">
        <v>3</v>
      </c>
      <c r="P61" s="97" t="s">
        <v>3</v>
      </c>
      <c r="Q61" s="97" t="s">
        <v>3</v>
      </c>
      <c r="R61" s="97">
        <f>820.41821-E61</f>
        <v>-2.4310000000014043E-3</v>
      </c>
      <c r="S61" s="97">
        <f>820.41669-E61</f>
        <v>-3.9510000000291257E-3</v>
      </c>
      <c r="T61" s="97">
        <f>820.41772-E61</f>
        <v>-2.9210000000148284E-3</v>
      </c>
      <c r="U61" s="97" t="s">
        <v>3</v>
      </c>
      <c r="V61" s="97" t="s">
        <v>3</v>
      </c>
      <c r="W61" s="101" t="s">
        <v>3</v>
      </c>
      <c r="X61" s="101" t="s">
        <v>3</v>
      </c>
      <c r="Y61" s="101" t="s">
        <v>3</v>
      </c>
      <c r="Z61" s="98" t="s">
        <v>3</v>
      </c>
      <c r="AA61" s="99" t="s">
        <v>3</v>
      </c>
      <c r="AB61" s="99" t="s">
        <v>3</v>
      </c>
      <c r="AC61" s="100" t="s">
        <v>3</v>
      </c>
      <c r="AD61" s="100" t="s">
        <v>3</v>
      </c>
      <c r="AE61" s="104" t="s">
        <v>3</v>
      </c>
      <c r="AF61" s="104" t="s">
        <v>3</v>
      </c>
      <c r="AG61" s="104" t="s">
        <v>3</v>
      </c>
      <c r="AH61" s="104" t="s">
        <v>3</v>
      </c>
      <c r="AI61" s="105" t="s">
        <v>3</v>
      </c>
      <c r="AJ61" s="105" t="s">
        <v>3</v>
      </c>
      <c r="AK61" s="105" t="s">
        <v>3</v>
      </c>
      <c r="AL61" s="105" t="s">
        <v>3</v>
      </c>
      <c r="AM61" s="105" t="s">
        <v>3</v>
      </c>
      <c r="AN61" s="106" t="s">
        <v>3</v>
      </c>
      <c r="AO61" s="106" t="s">
        <v>3</v>
      </c>
      <c r="AP61" s="106" t="s">
        <v>3</v>
      </c>
      <c r="AQ61" s="106" t="s">
        <v>3</v>
      </c>
      <c r="AR61" s="106" t="s">
        <v>3</v>
      </c>
      <c r="AS61" s="107" t="s">
        <v>3</v>
      </c>
      <c r="AT61" s="107" t="s">
        <v>3</v>
      </c>
      <c r="AU61" s="107" t="s">
        <v>3</v>
      </c>
      <c r="AV61" s="107" t="s">
        <v>3</v>
      </c>
      <c r="AW61" s="108" t="s">
        <v>3</v>
      </c>
      <c r="AX61" s="108" t="s">
        <v>3</v>
      </c>
      <c r="AY61" s="109" t="s">
        <v>3</v>
      </c>
      <c r="AZ61" s="109" t="s">
        <v>3</v>
      </c>
      <c r="BA61" s="123" t="s">
        <v>3</v>
      </c>
    </row>
    <row r="62" spans="1:53" x14ac:dyDescent="0.25">
      <c r="A62" s="38">
        <v>59</v>
      </c>
      <c r="B62" s="139" t="s">
        <v>17</v>
      </c>
      <c r="C62" s="38" t="s">
        <v>139</v>
      </c>
      <c r="D62" s="38" t="s">
        <v>188</v>
      </c>
      <c r="E62" s="48">
        <v>801.37953900000002</v>
      </c>
      <c r="F62" s="102" t="s">
        <v>564</v>
      </c>
      <c r="G62" s="102" t="s">
        <v>564</v>
      </c>
      <c r="H62" s="102" t="s">
        <v>564</v>
      </c>
      <c r="I62" s="103" t="s">
        <v>3</v>
      </c>
      <c r="J62" s="103" t="s">
        <v>3</v>
      </c>
      <c r="K62" s="116" t="s">
        <v>3</v>
      </c>
      <c r="L62" s="97" t="s">
        <v>3</v>
      </c>
      <c r="M62" s="97">
        <f>801.37592-801.37954</f>
        <v>-3.6200000000690125E-3</v>
      </c>
      <c r="N62" s="97">
        <f>801.37592-801.37954</f>
        <v>-3.6200000000690125E-3</v>
      </c>
      <c r="O62" s="97">
        <f>801.37842-801.37954</f>
        <v>-1.1200000000144428E-3</v>
      </c>
      <c r="P62" s="97">
        <f>801.3775-801.37954</f>
        <v>-2.0399999999654028E-3</v>
      </c>
      <c r="Q62" s="97">
        <f>801.37738-801.37954</f>
        <v>-2.1600000000034925E-3</v>
      </c>
      <c r="R62" s="97">
        <f>801.37738-801.37954</f>
        <v>-2.1600000000034925E-3</v>
      </c>
      <c r="S62" s="97">
        <f>801.37769-801.37954</f>
        <v>-1.8499999999903594E-3</v>
      </c>
      <c r="T62" s="97">
        <f>801.37567-801.37954</f>
        <v>-3.8700000000062573E-3</v>
      </c>
      <c r="U62" s="97">
        <f>801.37769-801.37954</f>
        <v>-1.8499999999903594E-3</v>
      </c>
      <c r="V62" s="97" t="s">
        <v>3</v>
      </c>
      <c r="W62" s="101" t="s">
        <v>564</v>
      </c>
      <c r="X62" s="101" t="s">
        <v>564</v>
      </c>
      <c r="Y62" s="101" t="s">
        <v>564</v>
      </c>
      <c r="Z62" s="98" t="s">
        <v>3</v>
      </c>
      <c r="AA62" s="99">
        <f>801.38019-801.37954</f>
        <v>6.4999999995052349E-4</v>
      </c>
      <c r="AB62" s="99" t="s">
        <v>3</v>
      </c>
      <c r="AC62" s="100" t="s">
        <v>3</v>
      </c>
      <c r="AD62" s="100" t="s">
        <v>3</v>
      </c>
      <c r="AE62" s="104">
        <f>801.38329-E62</f>
        <v>3.7509999999656429E-3</v>
      </c>
      <c r="AF62" s="104" t="s">
        <v>3</v>
      </c>
      <c r="AG62" s="104">
        <f>801.38136-E62</f>
        <v>1.8209999999498905E-3</v>
      </c>
      <c r="AH62" s="104" t="s">
        <v>3</v>
      </c>
      <c r="AI62" s="105" t="s">
        <v>3</v>
      </c>
      <c r="AJ62" s="105" t="s">
        <v>564</v>
      </c>
      <c r="AK62" s="105">
        <v>4.4799999999999999E-4</v>
      </c>
      <c r="AL62" s="105" t="s">
        <v>3</v>
      </c>
      <c r="AM62" s="105" t="s">
        <v>564</v>
      </c>
      <c r="AN62" s="106" t="s">
        <v>564</v>
      </c>
      <c r="AO62" s="106" t="s">
        <v>564</v>
      </c>
      <c r="AP62" s="106" t="s">
        <v>564</v>
      </c>
      <c r="AQ62" s="106" t="s">
        <v>564</v>
      </c>
      <c r="AR62" s="106" t="s">
        <v>564</v>
      </c>
      <c r="AS62" s="107" t="s">
        <v>3</v>
      </c>
      <c r="AT62" s="107" t="s">
        <v>3</v>
      </c>
      <c r="AU62" s="107" t="s">
        <v>3</v>
      </c>
      <c r="AV62" s="107" t="s">
        <v>3</v>
      </c>
      <c r="AW62" s="108" t="s">
        <v>3</v>
      </c>
      <c r="AX62" s="108" t="s">
        <v>3</v>
      </c>
      <c r="AY62" s="109" t="s">
        <v>3</v>
      </c>
      <c r="AZ62" s="109" t="s">
        <v>3</v>
      </c>
      <c r="BA62" s="123" t="s">
        <v>3</v>
      </c>
    </row>
    <row r="63" spans="1:53" x14ac:dyDescent="0.25">
      <c r="A63" s="38">
        <v>60</v>
      </c>
      <c r="B63" s="139" t="s">
        <v>18</v>
      </c>
      <c r="C63" s="38" t="s">
        <v>139</v>
      </c>
      <c r="D63" s="38" t="s">
        <v>189</v>
      </c>
      <c r="E63" s="48">
        <v>297.15298899999999</v>
      </c>
      <c r="F63" s="102" t="s">
        <v>564</v>
      </c>
      <c r="G63" s="102" t="s">
        <v>564</v>
      </c>
      <c r="H63" s="102" t="s">
        <v>564</v>
      </c>
      <c r="I63" s="103">
        <v>-6.1899999999999998E-4</v>
      </c>
      <c r="J63" s="103" t="s">
        <v>3</v>
      </c>
      <c r="K63" s="116" t="s">
        <v>3</v>
      </c>
      <c r="L63" s="97">
        <f>297.15189-297.15299</f>
        <v>-1.1000000000080945E-3</v>
      </c>
      <c r="M63" s="97">
        <f>297.1521-297.15299</f>
        <v>-8.8999999996985935E-4</v>
      </c>
      <c r="N63" s="97">
        <f>297.15231-297.15299</f>
        <v>-6.7999999998846761E-4</v>
      </c>
      <c r="O63" s="97">
        <f>297.1521-297.15299</f>
        <v>-8.8999999996985935E-4</v>
      </c>
      <c r="P63" s="97">
        <f>297.15161-297.15299</f>
        <v>-1.3799999999832835E-3</v>
      </c>
      <c r="Q63" s="97">
        <f>297.1517-297.15299</f>
        <v>-1.289999999983138E-3</v>
      </c>
      <c r="R63" s="97">
        <f>297.15161-297.15299</f>
        <v>-1.3799999999832835E-3</v>
      </c>
      <c r="S63" s="97">
        <f>297.15161-297.15299</f>
        <v>-1.3799999999832835E-3</v>
      </c>
      <c r="T63" s="97">
        <f>297.15079-297.15299</f>
        <v>-2.200000000016189E-3</v>
      </c>
      <c r="U63" s="97">
        <f>297.1521-297.15299</f>
        <v>-8.8999999996985935E-4</v>
      </c>
      <c r="V63" s="97">
        <f>297.15219-297.15299</f>
        <v>-7.9999999996971383E-4</v>
      </c>
      <c r="W63" s="101" t="s">
        <v>564</v>
      </c>
      <c r="X63" s="101" t="s">
        <v>564</v>
      </c>
      <c r="Y63" s="101" t="s">
        <v>564</v>
      </c>
      <c r="Z63" s="98">
        <f>297.15189-297.15299</f>
        <v>-1.1000000000080945E-3</v>
      </c>
      <c r="AA63" s="99">
        <f>297.15302-297.15299</f>
        <v>3.0000000037944119E-5</v>
      </c>
      <c r="AB63" s="99">
        <f>297.15302-297.15299</f>
        <v>3.0000000037944119E-5</v>
      </c>
      <c r="AC63" s="100">
        <f>297.1528-297.15299</f>
        <v>-1.8999999997504347E-4</v>
      </c>
      <c r="AD63" s="100">
        <f>297.15311-297.15299</f>
        <v>1.2000000003808964E-4</v>
      </c>
      <c r="AE63" s="104">
        <f>297.15392-E63</f>
        <v>9.3100000003687455E-4</v>
      </c>
      <c r="AF63" s="104">
        <f>297.15282-E63</f>
        <v>-1.6899999997121995E-4</v>
      </c>
      <c r="AG63" s="104">
        <f>297.15418-E63</f>
        <v>1.1910000000057153E-3</v>
      </c>
      <c r="AH63" s="104">
        <f>297.15355-E63</f>
        <v>5.6100000000469663E-4</v>
      </c>
      <c r="AI63" s="105">
        <v>-8.0599999999999997E-4</v>
      </c>
      <c r="AJ63" s="105" t="s">
        <v>564</v>
      </c>
      <c r="AK63" s="105">
        <v>-1.1640000000000001E-3</v>
      </c>
      <c r="AL63" s="105">
        <v>-1.0549999999999999E-3</v>
      </c>
      <c r="AM63" s="105" t="s">
        <v>564</v>
      </c>
      <c r="AN63" s="106" t="s">
        <v>564</v>
      </c>
      <c r="AO63" s="106" t="s">
        <v>564</v>
      </c>
      <c r="AP63" s="106" t="s">
        <v>564</v>
      </c>
      <c r="AQ63" s="106" t="s">
        <v>564</v>
      </c>
      <c r="AR63" s="106" t="s">
        <v>564</v>
      </c>
      <c r="AS63" s="107" t="s">
        <v>3</v>
      </c>
      <c r="AT63" s="107" t="s">
        <v>3</v>
      </c>
      <c r="AU63" s="107" t="s">
        <v>3</v>
      </c>
      <c r="AV63" s="107" t="s">
        <v>3</v>
      </c>
      <c r="AW63" s="108">
        <v>1.1999999998124622E-4</v>
      </c>
      <c r="AX63" s="108" t="s">
        <v>3</v>
      </c>
      <c r="AY63" s="109">
        <v>-2.4700000000166256E-4</v>
      </c>
      <c r="AZ63" s="109" t="s">
        <v>3</v>
      </c>
      <c r="BA63" s="123">
        <v>-5.8400000000347063E-4</v>
      </c>
    </row>
    <row r="64" spans="1:53" x14ac:dyDescent="0.25">
      <c r="A64" s="38">
        <v>61</v>
      </c>
      <c r="B64" s="139" t="s">
        <v>19</v>
      </c>
      <c r="C64" s="38" t="s">
        <v>139</v>
      </c>
      <c r="D64" s="38" t="s">
        <v>190</v>
      </c>
      <c r="E64" s="48">
        <v>311.16863899999998</v>
      </c>
      <c r="F64" s="102" t="s">
        <v>564</v>
      </c>
      <c r="G64" s="102" t="s">
        <v>564</v>
      </c>
      <c r="H64" s="102" t="s">
        <v>564</v>
      </c>
      <c r="I64" s="103">
        <v>-3.0800000000000001E-4</v>
      </c>
      <c r="J64" s="103" t="s">
        <v>3</v>
      </c>
      <c r="K64" s="116" t="s">
        <v>3</v>
      </c>
      <c r="L64" s="97">
        <f>311.16751-311.16864</f>
        <v>-1.1299999999891952E-3</v>
      </c>
      <c r="M64" s="97">
        <f>311.1676-311.16864</f>
        <v>-1.0399999999890497E-3</v>
      </c>
      <c r="N64" s="97">
        <f>311.1676-311.16864</f>
        <v>-1.0399999999890497E-3</v>
      </c>
      <c r="O64" s="97">
        <f>311.16739-311.16864</f>
        <v>-1.2499999999704414E-3</v>
      </c>
      <c r="P64" s="97">
        <f>311.1676-311.16864</f>
        <v>-1.0399999999890497E-3</v>
      </c>
      <c r="Q64" s="97">
        <f>311.1673-311.16864</f>
        <v>-1.3399999999705869E-3</v>
      </c>
      <c r="R64" s="97">
        <f>311.16739-311.16864</f>
        <v>-1.2499999999704414E-3</v>
      </c>
      <c r="S64" s="97">
        <f>311.1673-311.16864</f>
        <v>-1.3399999999705869E-3</v>
      </c>
      <c r="T64" s="97">
        <f>311.1665-311.16864</f>
        <v>-2.1399999999971442E-3</v>
      </c>
      <c r="U64" s="97">
        <f>311.1676-311.16864</f>
        <v>-1.0399999999890497E-3</v>
      </c>
      <c r="V64" s="97">
        <f>311.16739-311.16864</f>
        <v>-1.2499999999704414E-3</v>
      </c>
      <c r="W64" s="101" t="s">
        <v>564</v>
      </c>
      <c r="X64" s="101" t="s">
        <v>564</v>
      </c>
      <c r="Y64" s="101" t="s">
        <v>564</v>
      </c>
      <c r="Z64" s="98">
        <f>311.1676-311.16864</f>
        <v>-1.0399999999890497E-3</v>
      </c>
      <c r="AA64" s="99">
        <f>311.1687-311.16864</f>
        <v>6.0000000019044819E-5</v>
      </c>
      <c r="AB64" s="99">
        <f>311.1687-311.16864</f>
        <v>6.0000000019044819E-5</v>
      </c>
      <c r="AC64" s="100">
        <f>311.16849-311.16864</f>
        <v>-1.4999999996234692E-4</v>
      </c>
      <c r="AD64" s="100">
        <f>311.16891-311.16864</f>
        <v>2.7000000000043656E-4</v>
      </c>
      <c r="AE64" s="104">
        <f>311.1704-E64</f>
        <v>1.7609999999876891E-3</v>
      </c>
      <c r="AF64" s="104">
        <f>311.16898-E64</f>
        <v>3.4099999999170905E-4</v>
      </c>
      <c r="AG64" s="104">
        <f>311.17004-E64</f>
        <v>1.400999999987107E-3</v>
      </c>
      <c r="AH64" s="104">
        <f>311.16922-E64</f>
        <v>5.810000000110449E-4</v>
      </c>
      <c r="AI64" s="105">
        <v>-1.7290000000000001E-3</v>
      </c>
      <c r="AJ64" s="105" t="s">
        <v>564</v>
      </c>
      <c r="AK64" s="105">
        <v>-1.279E-3</v>
      </c>
      <c r="AL64" s="105">
        <v>-1.328E-3</v>
      </c>
      <c r="AM64" s="105" t="s">
        <v>564</v>
      </c>
      <c r="AN64" s="106" t="s">
        <v>564</v>
      </c>
      <c r="AO64" s="106" t="s">
        <v>564</v>
      </c>
      <c r="AP64" s="106" t="s">
        <v>564</v>
      </c>
      <c r="AQ64" s="106" t="s">
        <v>564</v>
      </c>
      <c r="AR64" s="106" t="s">
        <v>564</v>
      </c>
      <c r="AS64" s="107" t="s">
        <v>3</v>
      </c>
      <c r="AT64" s="107" t="s">
        <v>3</v>
      </c>
      <c r="AU64" s="107" t="s">
        <v>3</v>
      </c>
      <c r="AV64" s="107" t="s">
        <v>3</v>
      </c>
      <c r="AW64" s="108">
        <v>-2.479999999991378E-4</v>
      </c>
      <c r="AX64" s="108">
        <v>1.0100000002921661E-4</v>
      </c>
      <c r="AY64" s="109">
        <v>-2.2400000000288856E-4</v>
      </c>
      <c r="AZ64" s="109">
        <v>2.0360000000323453E-3</v>
      </c>
      <c r="BA64" s="123" t="s">
        <v>3</v>
      </c>
    </row>
    <row r="65" spans="1:53" x14ac:dyDescent="0.25">
      <c r="A65" s="38">
        <v>62</v>
      </c>
      <c r="B65" s="139" t="s">
        <v>20</v>
      </c>
      <c r="C65" s="38" t="s">
        <v>139</v>
      </c>
      <c r="D65" s="38" t="s">
        <v>191</v>
      </c>
      <c r="E65" s="48">
        <v>325.18428899999998</v>
      </c>
      <c r="F65" s="102" t="s">
        <v>564</v>
      </c>
      <c r="G65" s="102" t="s">
        <v>564</v>
      </c>
      <c r="H65" s="102" t="s">
        <v>564</v>
      </c>
      <c r="I65" s="103">
        <v>-6.1499999999999999E-4</v>
      </c>
      <c r="J65" s="103" t="s">
        <v>3</v>
      </c>
      <c r="K65" s="116" t="s">
        <v>3</v>
      </c>
      <c r="L65" s="97">
        <f>325.18289-325.18429</f>
        <v>-1.3999999999896318E-3</v>
      </c>
      <c r="M65" s="97">
        <f>325.18301-325.18429</f>
        <v>-1.2799999999515421E-3</v>
      </c>
      <c r="N65" s="97">
        <f>325.18301-325.18429</f>
        <v>-1.2799999999515421E-3</v>
      </c>
      <c r="O65" s="97">
        <f>325.18311-325.18429</f>
        <v>-1.1799999999766442E-3</v>
      </c>
      <c r="P65" s="97">
        <f>325.18301-325.18429</f>
        <v>-1.2799999999515421E-3</v>
      </c>
      <c r="Q65" s="97">
        <f>325.18289-325.18429</f>
        <v>-1.3999999999896318E-3</v>
      </c>
      <c r="R65" s="97">
        <f>325.18301-325.18429</f>
        <v>-1.2799999999515421E-3</v>
      </c>
      <c r="S65" s="97">
        <f>325.18289-325.18429</f>
        <v>-1.3999999999896318E-3</v>
      </c>
      <c r="T65" s="97">
        <f>325.18259-325.18429</f>
        <v>-1.699999999971169E-3</v>
      </c>
      <c r="U65" s="97">
        <f>325.18289-325.18429</f>
        <v>-1.3999999999896318E-3</v>
      </c>
      <c r="V65" s="97">
        <f>325.18311-325.18429</f>
        <v>-1.1799999999766442E-3</v>
      </c>
      <c r="W65" s="101" t="s">
        <v>564</v>
      </c>
      <c r="X65" s="101" t="s">
        <v>564</v>
      </c>
      <c r="Y65" s="101" t="s">
        <v>564</v>
      </c>
      <c r="Z65" s="98">
        <f>325.18311-325.18429</f>
        <v>-1.1799999999766442E-3</v>
      </c>
      <c r="AA65" s="99">
        <f>325.1843-325.18429</f>
        <v>1.0000000031595846E-5</v>
      </c>
      <c r="AB65" s="99">
        <f>325.1842-325.18429</f>
        <v>-9.0000000000145519E-5</v>
      </c>
      <c r="AC65" s="100">
        <f>325.1842-325.18429</f>
        <v>-9.0000000000145519E-5</v>
      </c>
      <c r="AD65" s="100">
        <f>325.18451-325.18429</f>
        <v>2.2000000001298758E-4</v>
      </c>
      <c r="AE65" s="104">
        <f>325.18592-E65</f>
        <v>1.6310000000316904E-3</v>
      </c>
      <c r="AF65" s="104">
        <f>325.18468-E65</f>
        <v>3.9100000003600144E-4</v>
      </c>
      <c r="AG65" s="104">
        <f>325.18581-E65</f>
        <v>1.5210000000251966E-3</v>
      </c>
      <c r="AH65" s="104">
        <f>325.18552-E65</f>
        <v>1.2310000000184118E-3</v>
      </c>
      <c r="AI65" s="105">
        <v>-1.6329999999999999E-3</v>
      </c>
      <c r="AJ65" s="105" t="s">
        <v>564</v>
      </c>
      <c r="AK65" s="105">
        <v>-1.243E-3</v>
      </c>
      <c r="AL65" s="105">
        <v>-8.3100000000000003E-4</v>
      </c>
      <c r="AM65" s="105" t="s">
        <v>564</v>
      </c>
      <c r="AN65" s="106" t="s">
        <v>564</v>
      </c>
      <c r="AO65" s="106" t="s">
        <v>564</v>
      </c>
      <c r="AP65" s="106" t="s">
        <v>564</v>
      </c>
      <c r="AQ65" s="106" t="s">
        <v>564</v>
      </c>
      <c r="AR65" s="106" t="s">
        <v>564</v>
      </c>
      <c r="AS65" s="107" t="s">
        <v>3</v>
      </c>
      <c r="AT65" s="107" t="s">
        <v>3</v>
      </c>
      <c r="AU65" s="107" t="s">
        <v>3</v>
      </c>
      <c r="AV65" s="107" t="s">
        <v>3</v>
      </c>
      <c r="AW65" s="108">
        <v>2.5100000004840695E-4</v>
      </c>
      <c r="AX65" s="108">
        <v>2.8100000002950765E-4</v>
      </c>
      <c r="AY65" s="109" t="s">
        <v>3</v>
      </c>
      <c r="AZ65" s="109" t="s">
        <v>3</v>
      </c>
      <c r="BA65" s="123" t="s">
        <v>3</v>
      </c>
    </row>
    <row r="66" spans="1:53" x14ac:dyDescent="0.25">
      <c r="A66" s="38">
        <v>63</v>
      </c>
      <c r="B66" s="139" t="s">
        <v>21</v>
      </c>
      <c r="C66" s="38" t="s">
        <v>139</v>
      </c>
      <c r="D66" s="38" t="s">
        <v>192</v>
      </c>
      <c r="E66" s="48">
        <v>339.19993899999997</v>
      </c>
      <c r="F66" s="102" t="s">
        <v>564</v>
      </c>
      <c r="G66" s="102" t="s">
        <v>564</v>
      </c>
      <c r="H66" s="102" t="s">
        <v>564</v>
      </c>
      <c r="I66" s="103">
        <v>3.6699999999999998E-4</v>
      </c>
      <c r="J66" s="103" t="s">
        <v>3</v>
      </c>
      <c r="K66" s="116" t="s">
        <v>3</v>
      </c>
      <c r="L66" s="97">
        <f>339.19849-339.19994</f>
        <v>-1.4500000000339242E-3</v>
      </c>
      <c r="M66" s="97">
        <f>339.19849-339.199994</f>
        <v>-1.5040000000112741E-3</v>
      </c>
      <c r="N66" s="97">
        <f>339.19861-339.19994</f>
        <v>-1.3300000000526779E-3</v>
      </c>
      <c r="O66" s="97">
        <f>339.19849-339.199994</f>
        <v>-1.5040000000112741E-3</v>
      </c>
      <c r="P66" s="97">
        <f>339.19849-339.199994</f>
        <v>-1.5040000000112741E-3</v>
      </c>
      <c r="Q66" s="97">
        <f>339.19839-339.19994</f>
        <v>-1.5500000000088221E-3</v>
      </c>
      <c r="R66" s="97">
        <f>339.19861-339.19994</f>
        <v>-1.3300000000526779E-3</v>
      </c>
      <c r="S66" s="97">
        <f>339.198-339.19994</f>
        <v>-1.9400000000473483E-3</v>
      </c>
      <c r="T66" s="97">
        <f>339.19861-339.19994</f>
        <v>-1.3300000000526779E-3</v>
      </c>
      <c r="U66" s="97">
        <f>339.19849-339.19994</f>
        <v>-1.4500000000339242E-3</v>
      </c>
      <c r="V66" s="97">
        <f>339.19821-339.19994</f>
        <v>-1.7300000000091131E-3</v>
      </c>
      <c r="W66" s="101" t="s">
        <v>564</v>
      </c>
      <c r="X66" s="101" t="s">
        <v>564</v>
      </c>
      <c r="Y66" s="101" t="s">
        <v>564</v>
      </c>
      <c r="Z66" s="98">
        <f>339.19839-339.19994</f>
        <v>-1.5500000000088221E-3</v>
      </c>
      <c r="AA66" s="99">
        <f>339.1998-339.19994</f>
        <v>-1.4000000004443791E-4</v>
      </c>
      <c r="AB66" s="99">
        <f>339.19971-339.19994</f>
        <v>-2.3000000004458343E-4</v>
      </c>
      <c r="AC66" s="100">
        <f>339.19989-339.19994</f>
        <v>-5.0000000044292392E-5</v>
      </c>
      <c r="AD66" s="100">
        <f>339.20001-339.19994</f>
        <v>6.9999999993797246E-5</v>
      </c>
      <c r="AE66" s="104">
        <f>339.20156-E66</f>
        <v>1.6210000000000946E-3</v>
      </c>
      <c r="AF66" s="104">
        <f>339.1998-E66</f>
        <v>-1.3899999999011925E-4</v>
      </c>
      <c r="AG66" s="104">
        <f>339.19994-E66</f>
        <v>1.0000000543186616E-6</v>
      </c>
      <c r="AH66" s="104">
        <f>339.20052-E66</f>
        <v>5.810000000110449E-4</v>
      </c>
      <c r="AI66" s="105">
        <v>-1.2489999999999999E-3</v>
      </c>
      <c r="AJ66" s="105" t="s">
        <v>564</v>
      </c>
      <c r="AK66" s="105">
        <v>-1.725E-3</v>
      </c>
      <c r="AL66" s="105">
        <v>-1.0740000000000001E-3</v>
      </c>
      <c r="AM66" s="105" t="s">
        <v>564</v>
      </c>
      <c r="AN66" s="106" t="s">
        <v>564</v>
      </c>
      <c r="AO66" s="106" t="s">
        <v>564</v>
      </c>
      <c r="AP66" s="106" t="s">
        <v>564</v>
      </c>
      <c r="AQ66" s="106" t="s">
        <v>564</v>
      </c>
      <c r="AR66" s="106" t="s">
        <v>564</v>
      </c>
      <c r="AS66" s="107" t="s">
        <v>3</v>
      </c>
      <c r="AT66" s="107" t="s">
        <v>3</v>
      </c>
      <c r="AU66" s="107" t="s">
        <v>3</v>
      </c>
      <c r="AV66" s="107" t="s">
        <v>3</v>
      </c>
      <c r="AW66" s="108">
        <v>1.7800000000534055E-4</v>
      </c>
      <c r="AX66" s="108">
        <v>-1.8899999997756822E-4</v>
      </c>
      <c r="AY66" s="109">
        <v>-2.8899999995246617E-4</v>
      </c>
      <c r="AZ66" s="109">
        <v>2.6440000000320651E-3</v>
      </c>
      <c r="BA66" s="123" t="s">
        <v>3</v>
      </c>
    </row>
    <row r="67" spans="1:53" x14ac:dyDescent="0.25">
      <c r="A67" s="38">
        <v>64</v>
      </c>
      <c r="B67" s="139" t="s">
        <v>22</v>
      </c>
      <c r="C67" s="38" t="s">
        <v>139</v>
      </c>
      <c r="D67" s="38" t="s">
        <v>193</v>
      </c>
      <c r="E67" s="48">
        <v>353.21558900000002</v>
      </c>
      <c r="F67" s="102" t="s">
        <v>564</v>
      </c>
      <c r="G67" s="102" t="s">
        <v>564</v>
      </c>
      <c r="H67" s="102" t="s">
        <v>564</v>
      </c>
      <c r="I67" s="103" t="s">
        <v>3</v>
      </c>
      <c r="J67" s="103" t="s">
        <v>3</v>
      </c>
      <c r="K67" s="116" t="s">
        <v>3</v>
      </c>
      <c r="L67" s="97" t="s">
        <v>3</v>
      </c>
      <c r="M67" s="97" t="s">
        <v>3</v>
      </c>
      <c r="N67" s="97" t="s">
        <v>3</v>
      </c>
      <c r="O67" s="97" t="s">
        <v>3</v>
      </c>
      <c r="P67" s="97" t="s">
        <v>3</v>
      </c>
      <c r="Q67" s="97" t="s">
        <v>3</v>
      </c>
      <c r="R67" s="97" t="s">
        <v>3</v>
      </c>
      <c r="S67" s="97" t="s">
        <v>3</v>
      </c>
      <c r="T67" s="97" t="s">
        <v>3</v>
      </c>
      <c r="U67" s="97" t="s">
        <v>3</v>
      </c>
      <c r="V67" s="97" t="s">
        <v>3</v>
      </c>
      <c r="W67" s="101" t="s">
        <v>564</v>
      </c>
      <c r="X67" s="101" t="s">
        <v>564</v>
      </c>
      <c r="Y67" s="101" t="s">
        <v>564</v>
      </c>
      <c r="Z67" s="98" t="s">
        <v>3</v>
      </c>
      <c r="AA67" s="99" t="s">
        <v>3</v>
      </c>
      <c r="AB67" s="99" t="s">
        <v>3</v>
      </c>
      <c r="AC67" s="100">
        <f>353.2157-353.21559</f>
        <v>1.1000000000649379E-4</v>
      </c>
      <c r="AD67" s="100" t="s">
        <v>3</v>
      </c>
      <c r="AE67" s="104">
        <f>353.21634-E67</f>
        <v>7.509999999797401E-4</v>
      </c>
      <c r="AF67" s="104">
        <f>353.21537-E67</f>
        <v>-2.1900000001551234E-4</v>
      </c>
      <c r="AG67" s="104">
        <f>353.21696-E67</f>
        <v>1.3709999999491629E-3</v>
      </c>
      <c r="AH67" s="104" t="s">
        <v>3</v>
      </c>
      <c r="AI67" s="105"/>
      <c r="AJ67" s="105" t="s">
        <v>564</v>
      </c>
      <c r="AK67" s="105" t="s">
        <v>3</v>
      </c>
      <c r="AL67" s="105" t="s">
        <v>3</v>
      </c>
      <c r="AM67" s="105" t="s">
        <v>564</v>
      </c>
      <c r="AN67" s="106" t="s">
        <v>564</v>
      </c>
      <c r="AO67" s="106" t="s">
        <v>564</v>
      </c>
      <c r="AP67" s="106" t="s">
        <v>564</v>
      </c>
      <c r="AQ67" s="106" t="s">
        <v>564</v>
      </c>
      <c r="AR67" s="106" t="s">
        <v>564</v>
      </c>
      <c r="AS67" s="107" t="s">
        <v>3</v>
      </c>
      <c r="AT67" s="107" t="s">
        <v>3</v>
      </c>
      <c r="AU67" s="107" t="s">
        <v>3</v>
      </c>
      <c r="AV67" s="107" t="s">
        <v>3</v>
      </c>
      <c r="AW67" s="108" t="s">
        <v>3</v>
      </c>
      <c r="AX67" s="108" t="s">
        <v>3</v>
      </c>
      <c r="AY67" s="109" t="s">
        <v>3</v>
      </c>
      <c r="AZ67" s="109" t="s">
        <v>3</v>
      </c>
      <c r="BA67" s="123" t="s">
        <v>3</v>
      </c>
    </row>
    <row r="68" spans="1:53" x14ac:dyDescent="0.25">
      <c r="A68" s="38">
        <v>65</v>
      </c>
      <c r="B68" s="139" t="s">
        <v>0</v>
      </c>
      <c r="C68" s="38" t="s">
        <v>139</v>
      </c>
      <c r="D68" s="38" t="s">
        <v>194</v>
      </c>
      <c r="E68" s="48">
        <v>299.095868</v>
      </c>
      <c r="F68" s="102" t="s">
        <v>564</v>
      </c>
      <c r="G68" s="102" t="s">
        <v>564</v>
      </c>
      <c r="H68" s="102" t="s">
        <v>564</v>
      </c>
      <c r="I68" s="103" t="s">
        <v>3</v>
      </c>
      <c r="J68" s="103" t="s">
        <v>3</v>
      </c>
      <c r="K68" s="116" t="s">
        <v>3</v>
      </c>
      <c r="L68" s="97" t="s">
        <v>3</v>
      </c>
      <c r="M68" s="97">
        <f>299.09491-299.09587</f>
        <v>-9.5999999996365659E-4</v>
      </c>
      <c r="N68" s="97">
        <f>299.095-299.09587</f>
        <v>-8.6999999996351107E-4</v>
      </c>
      <c r="O68" s="97">
        <f>299.095-299.09587</f>
        <v>-8.6999999996351107E-4</v>
      </c>
      <c r="P68" s="97">
        <f>299.095-299.09587</f>
        <v>-8.6999999996351107E-4</v>
      </c>
      <c r="Q68" s="97">
        <f>299.09491-299.09587</f>
        <v>-9.5999999996365659E-4</v>
      </c>
      <c r="R68" s="97">
        <f>299.09479-299.09587</f>
        <v>-1.0800000000017462E-3</v>
      </c>
      <c r="S68" s="97">
        <f>299.095-299.09587</f>
        <v>-8.6999999996351107E-4</v>
      </c>
      <c r="T68" s="97">
        <f>299.09479-299.09587</f>
        <v>-1.0800000000017462E-3</v>
      </c>
      <c r="U68" s="97">
        <f>299.09479-299.09587</f>
        <v>-1.0800000000017462E-3</v>
      </c>
      <c r="V68" s="97">
        <f>299.095-299.09587</f>
        <v>-8.6999999996351107E-4</v>
      </c>
      <c r="W68" s="101" t="s">
        <v>564</v>
      </c>
      <c r="X68" s="101" t="s">
        <v>564</v>
      </c>
      <c r="Y68" s="101" t="s">
        <v>564</v>
      </c>
      <c r="Z68" s="98">
        <f>299.09479-299.09587</f>
        <v>-1.0800000000017462E-3</v>
      </c>
      <c r="AA68" s="99">
        <f>299.09589-299.09587</f>
        <v>2.0000000006348273E-5</v>
      </c>
      <c r="AB68" s="99">
        <f>299.0957-299.09587</f>
        <v>-1.6999999996869519E-4</v>
      </c>
      <c r="AC68" s="100">
        <f>299.09589-299.09587</f>
        <v>2.0000000006348273E-5</v>
      </c>
      <c r="AD68" s="100" t="s">
        <v>3</v>
      </c>
      <c r="AE68" s="104">
        <f>299.09709-E68</f>
        <v>1.2219999999842912E-3</v>
      </c>
      <c r="AF68" s="104">
        <f>299.09624-E68</f>
        <v>3.7200000002712841E-4</v>
      </c>
      <c r="AG68" s="104" t="s">
        <v>3</v>
      </c>
      <c r="AH68" s="104" t="s">
        <v>3</v>
      </c>
      <c r="AI68" s="105">
        <f>299.0943-299.09477</f>
        <v>-4.7000000000707587E-4</v>
      </c>
      <c r="AJ68" s="105" t="s">
        <v>564</v>
      </c>
      <c r="AK68" s="105">
        <v>-1.4660000000000001E-3</v>
      </c>
      <c r="AL68" s="105">
        <v>-5.6499999999999996E-4</v>
      </c>
      <c r="AM68" s="105" t="s">
        <v>564</v>
      </c>
      <c r="AN68" s="106" t="s">
        <v>564</v>
      </c>
      <c r="AO68" s="106" t="s">
        <v>564</v>
      </c>
      <c r="AP68" s="106" t="s">
        <v>564</v>
      </c>
      <c r="AQ68" s="106" t="s">
        <v>564</v>
      </c>
      <c r="AR68" s="106" t="s">
        <v>564</v>
      </c>
      <c r="AS68" s="107" t="s">
        <v>3</v>
      </c>
      <c r="AT68" s="107" t="s">
        <v>3</v>
      </c>
      <c r="AU68" s="107" t="s">
        <v>3</v>
      </c>
      <c r="AV68" s="107" t="s">
        <v>3</v>
      </c>
      <c r="AW68" s="108">
        <v>-1.8399999999019201E-4</v>
      </c>
      <c r="AX68" s="108">
        <v>-2.180000000180371E-4</v>
      </c>
      <c r="AY68" s="109" t="s">
        <v>3</v>
      </c>
      <c r="AZ68" s="109">
        <v>6.9799999999986539E-4</v>
      </c>
      <c r="BA68" s="123">
        <v>-4.1599999997288251E-4</v>
      </c>
    </row>
    <row r="69" spans="1:53" x14ac:dyDescent="0.25">
      <c r="A69" s="38">
        <v>66</v>
      </c>
      <c r="B69" s="139" t="s">
        <v>87</v>
      </c>
      <c r="C69" s="38" t="s">
        <v>138</v>
      </c>
      <c r="D69" s="38" t="s">
        <v>195</v>
      </c>
      <c r="E69" s="48">
        <v>96.044390000000007</v>
      </c>
      <c r="F69" s="102" t="s">
        <v>3</v>
      </c>
      <c r="G69" s="102" t="s">
        <v>3</v>
      </c>
      <c r="H69" s="102" t="s">
        <v>3</v>
      </c>
      <c r="I69" s="103" t="s">
        <v>3</v>
      </c>
      <c r="J69" s="103" t="s">
        <v>3</v>
      </c>
      <c r="K69" s="116" t="s">
        <v>3</v>
      </c>
      <c r="L69" s="97" t="s">
        <v>3</v>
      </c>
      <c r="M69" s="97" t="s">
        <v>3</v>
      </c>
      <c r="N69" s="97" t="s">
        <v>3</v>
      </c>
      <c r="O69" s="97" t="s">
        <v>3</v>
      </c>
      <c r="P69" s="97" t="s">
        <v>3</v>
      </c>
      <c r="Q69" s="97" t="s">
        <v>3</v>
      </c>
      <c r="R69" s="97" t="s">
        <v>3</v>
      </c>
      <c r="S69" s="97" t="s">
        <v>3</v>
      </c>
      <c r="T69" s="97" t="s">
        <v>3</v>
      </c>
      <c r="U69" s="97" t="s">
        <v>3</v>
      </c>
      <c r="V69" s="97" t="s">
        <v>3</v>
      </c>
      <c r="W69" s="101" t="s">
        <v>3</v>
      </c>
      <c r="X69" s="101" t="s">
        <v>3</v>
      </c>
      <c r="Y69" s="101" t="s">
        <v>3</v>
      </c>
      <c r="Z69" s="98" t="s">
        <v>3</v>
      </c>
      <c r="AA69" s="99" t="s">
        <v>3</v>
      </c>
      <c r="AB69" s="99" t="s">
        <v>3</v>
      </c>
      <c r="AC69" s="100" t="s">
        <v>3</v>
      </c>
      <c r="AD69" s="100" t="s">
        <v>3</v>
      </c>
      <c r="AE69" s="104">
        <f>96.04459-E69</f>
        <v>1.9999999999242846E-4</v>
      </c>
      <c r="AF69" s="104">
        <v>0</v>
      </c>
      <c r="AG69" s="104" t="s">
        <v>3</v>
      </c>
      <c r="AH69" s="104" t="s">
        <v>3</v>
      </c>
      <c r="AI69" s="105" t="s">
        <v>3</v>
      </c>
      <c r="AJ69" s="105" t="s">
        <v>3</v>
      </c>
      <c r="AK69" s="105" t="s">
        <v>3</v>
      </c>
      <c r="AL69" s="105" t="s">
        <v>3</v>
      </c>
      <c r="AM69" s="105" t="s">
        <v>3</v>
      </c>
      <c r="AN69" s="106" t="s">
        <v>3</v>
      </c>
      <c r="AO69" s="106" t="s">
        <v>3</v>
      </c>
      <c r="AP69" s="106" t="s">
        <v>3</v>
      </c>
      <c r="AQ69" s="106" t="s">
        <v>3</v>
      </c>
      <c r="AR69" s="106" t="s">
        <v>3</v>
      </c>
      <c r="AS69" s="107" t="s">
        <v>3</v>
      </c>
      <c r="AT69" s="107" t="s">
        <v>3</v>
      </c>
      <c r="AU69" s="107" t="s">
        <v>3</v>
      </c>
      <c r="AV69" s="107" t="s">
        <v>3</v>
      </c>
      <c r="AW69" s="108" t="s">
        <v>3</v>
      </c>
      <c r="AX69" s="108" t="s">
        <v>3</v>
      </c>
      <c r="AY69" s="109" t="s">
        <v>3</v>
      </c>
      <c r="AZ69" s="109" t="s">
        <v>3</v>
      </c>
      <c r="BA69" s="123" t="s">
        <v>3</v>
      </c>
    </row>
    <row r="70" spans="1:53" x14ac:dyDescent="0.25">
      <c r="A70" s="38">
        <v>67</v>
      </c>
      <c r="B70" s="139" t="s">
        <v>105</v>
      </c>
      <c r="C70" s="38" t="s">
        <v>138</v>
      </c>
      <c r="D70" s="38" t="s">
        <v>196</v>
      </c>
      <c r="E70" s="48">
        <v>100.07568999999999</v>
      </c>
      <c r="F70" s="102" t="s">
        <v>3</v>
      </c>
      <c r="G70" s="102" t="s">
        <v>3</v>
      </c>
      <c r="H70" s="102" t="s">
        <v>3</v>
      </c>
      <c r="I70" s="103" t="s">
        <v>3</v>
      </c>
      <c r="J70" s="103" t="s">
        <v>3</v>
      </c>
      <c r="K70" s="116" t="s">
        <v>3</v>
      </c>
      <c r="L70" s="97" t="s">
        <v>3</v>
      </c>
      <c r="M70" s="97" t="s">
        <v>3</v>
      </c>
      <c r="N70" s="97" t="s">
        <v>3</v>
      </c>
      <c r="O70" s="97" t="s">
        <v>3</v>
      </c>
      <c r="P70" s="97" t="s">
        <v>3</v>
      </c>
      <c r="Q70" s="97" t="s">
        <v>3</v>
      </c>
      <c r="R70" s="97" t="s">
        <v>3</v>
      </c>
      <c r="S70" s="97" t="s">
        <v>3</v>
      </c>
      <c r="T70" s="97" t="s">
        <v>3</v>
      </c>
      <c r="U70" s="97" t="s">
        <v>3</v>
      </c>
      <c r="V70" s="97" t="s">
        <v>3</v>
      </c>
      <c r="W70" s="101">
        <f>100.076-E70</f>
        <v>3.0999999999892225E-4</v>
      </c>
      <c r="X70" s="101">
        <f>100.076-E70</f>
        <v>3.0999999999892225E-4</v>
      </c>
      <c r="Y70" s="101" t="s">
        <v>3</v>
      </c>
      <c r="Z70" s="98" t="s">
        <v>3</v>
      </c>
      <c r="AA70" s="99">
        <f>100.0759-E70</f>
        <v>2.1000000000981345E-4</v>
      </c>
      <c r="AB70" s="99" t="s">
        <v>3</v>
      </c>
      <c r="AC70" s="100">
        <f>100.0756-E70</f>
        <v>-9.0000000000145519E-5</v>
      </c>
      <c r="AD70" s="100" t="s">
        <v>3</v>
      </c>
      <c r="AE70" s="104">
        <f>100.07599-E70</f>
        <v>3.0000000000995897E-4</v>
      </c>
      <c r="AF70" s="104">
        <f>100.07582-E70</f>
        <v>1.2999999999863121E-4</v>
      </c>
      <c r="AG70" s="104">
        <f>100.07612-E70</f>
        <v>4.3000000000859018E-4</v>
      </c>
      <c r="AH70" s="104">
        <f>100.07572-E70</f>
        <v>3.000000000952241E-5</v>
      </c>
      <c r="AI70" s="105" t="s">
        <v>3</v>
      </c>
      <c r="AJ70" s="105" t="s">
        <v>3</v>
      </c>
      <c r="AK70" s="105" t="s">
        <v>3</v>
      </c>
      <c r="AL70" s="105" t="s">
        <v>3</v>
      </c>
      <c r="AM70" s="105" t="s">
        <v>3</v>
      </c>
      <c r="AN70" s="106" t="s">
        <v>3</v>
      </c>
      <c r="AO70" s="106" t="s">
        <v>3</v>
      </c>
      <c r="AP70" s="106" t="s">
        <v>3</v>
      </c>
      <c r="AQ70" s="106" t="s">
        <v>3</v>
      </c>
      <c r="AR70" s="106" t="s">
        <v>3</v>
      </c>
      <c r="AS70" s="107" t="s">
        <v>3</v>
      </c>
      <c r="AT70" s="107" t="s">
        <v>3</v>
      </c>
      <c r="AU70" s="107" t="s">
        <v>3</v>
      </c>
      <c r="AV70" s="107" t="s">
        <v>3</v>
      </c>
      <c r="AW70" s="108">
        <v>-3.9999999998485691E-5</v>
      </c>
      <c r="AX70" s="108" t="s">
        <v>3</v>
      </c>
      <c r="AY70" s="109">
        <v>4.2200000000036653E-4</v>
      </c>
      <c r="AZ70" s="109" t="s">
        <v>3</v>
      </c>
      <c r="BA70" s="123">
        <v>4.6000000000390173E-4</v>
      </c>
    </row>
    <row r="71" spans="1:53" x14ac:dyDescent="0.25">
      <c r="A71" s="38">
        <v>68</v>
      </c>
      <c r="B71" s="139" t="s">
        <v>116</v>
      </c>
      <c r="C71" s="38" t="s">
        <v>138</v>
      </c>
      <c r="D71" s="38" t="s">
        <v>197</v>
      </c>
      <c r="E71" s="48">
        <v>237.102239</v>
      </c>
      <c r="F71" s="102">
        <v>1.253E-3</v>
      </c>
      <c r="G71" s="102">
        <v>1.954E-3</v>
      </c>
      <c r="H71" s="102">
        <f>(237.1024-E71)</f>
        <v>1.6099999999141801E-4</v>
      </c>
      <c r="I71" s="103" t="s">
        <v>3</v>
      </c>
      <c r="J71" s="103">
        <f>0.54*10^-3</f>
        <v>5.4000000000000001E-4</v>
      </c>
      <c r="K71" s="116">
        <f>237.10159-237.1022</f>
        <v>-6.1000000002309207E-4</v>
      </c>
      <c r="L71" s="97" t="s">
        <v>3</v>
      </c>
      <c r="M71" s="97">
        <f>237.10229-237.10224</f>
        <v>5.0000000015870683E-5</v>
      </c>
      <c r="N71" s="97">
        <f>237.1024-237.10224</f>
        <v>1.5999999999394277E-4</v>
      </c>
      <c r="O71" s="97">
        <f>237.10229-237.10224</f>
        <v>5.0000000015870683E-5</v>
      </c>
      <c r="P71" s="97">
        <f>237.1024-237.10224</f>
        <v>1.5999999999394277E-4</v>
      </c>
      <c r="Q71" s="97">
        <f>237.1024-237.10224</f>
        <v>1.5999999999394277E-4</v>
      </c>
      <c r="R71" s="97">
        <f>237.10249-237.10224</f>
        <v>2.4999999999408828E-4</v>
      </c>
      <c r="S71" s="97">
        <f>237.1024-237.10224</f>
        <v>1.5999999999394277E-4</v>
      </c>
      <c r="T71" s="97">
        <f>237.1024-237.10224</f>
        <v>1.5999999999394277E-4</v>
      </c>
      <c r="U71" s="97">
        <f>237.1019-237.10224</f>
        <v>-3.399999999942338E-4</v>
      </c>
      <c r="V71" s="97">
        <f>237.10249-237.10224</f>
        <v>2.4999999999408828E-4</v>
      </c>
      <c r="W71" s="101">
        <f>237.1024-237.10224</f>
        <v>1.5999999999394277E-4</v>
      </c>
      <c r="X71" s="101">
        <f>237.1024-237.10224</f>
        <v>1.5999999999394277E-4</v>
      </c>
      <c r="Y71" s="101">
        <f>237.10249-237.10224</f>
        <v>2.4999999999408828E-4</v>
      </c>
      <c r="Z71" s="98">
        <f>237.1028-237.10224</f>
        <v>5.6000000000722139E-4</v>
      </c>
      <c r="AA71" s="99">
        <f>237.1024-237.10224</f>
        <v>1.5999999999394277E-4</v>
      </c>
      <c r="AB71" s="99" t="s">
        <v>3</v>
      </c>
      <c r="AC71" s="100">
        <f>237.1021-237.10224</f>
        <v>-1.3999999998759449E-4</v>
      </c>
      <c r="AD71" s="100" t="s">
        <v>3</v>
      </c>
      <c r="AE71" s="104">
        <f>237.10236-E71</f>
        <v>1.2100000000714317E-4</v>
      </c>
      <c r="AF71" s="104">
        <f>237.1022-E71</f>
        <v>-3.8999999986799594E-5</v>
      </c>
      <c r="AG71" s="104">
        <f>237.10186-E71</f>
        <v>-3.7900000000945511E-4</v>
      </c>
      <c r="AH71" s="104">
        <f>237.10303-E71</f>
        <v>7.9099999999243664E-4</v>
      </c>
      <c r="AI71" s="105">
        <v>8.8999999999999995E-4</v>
      </c>
      <c r="AJ71" s="105">
        <v>3.3100000000000002E-4</v>
      </c>
      <c r="AK71" s="105">
        <v>6.7199999999999996E-4</v>
      </c>
      <c r="AL71" s="105">
        <v>7.7700000000000002E-4</v>
      </c>
      <c r="AM71" s="105" t="s">
        <v>3</v>
      </c>
      <c r="AN71" s="111">
        <f>237.102215965529-E71</f>
        <v>-2.3034470984839572E-5</v>
      </c>
      <c r="AO71" s="111">
        <f>237.102610859971-E71</f>
        <v>3.7185997101119028E-4</v>
      </c>
      <c r="AP71" s="111">
        <f>237.102412255449-E71</f>
        <v>1.7325544899904344E-4</v>
      </c>
      <c r="AQ71" s="111">
        <f>237.102414929585-E71</f>
        <v>1.7592958499790257E-4</v>
      </c>
      <c r="AR71" s="111">
        <f>237.102420451967-E71</f>
        <v>1.8145196699492772E-4</v>
      </c>
      <c r="AS71" s="107">
        <f>(237.10271-E71)</f>
        <v>4.7100000000455111E-4</v>
      </c>
      <c r="AT71" s="107">
        <f>(237.1017-E71)</f>
        <v>-5.3900000000339787E-4</v>
      </c>
      <c r="AU71" s="107">
        <f>(237.10159-E71)</f>
        <v>-6.4900000000989166E-4</v>
      </c>
      <c r="AV71" s="107">
        <f>(237.1028-E71)</f>
        <v>5.6100000000469663E-4</v>
      </c>
      <c r="AW71" s="108" t="s">
        <v>3</v>
      </c>
      <c r="AX71" s="108" t="s">
        <v>3</v>
      </c>
      <c r="AY71" s="109">
        <v>1.7800000000534055E-4</v>
      </c>
      <c r="AZ71" s="109">
        <v>1.1100000000112686E-3</v>
      </c>
      <c r="BA71" s="123">
        <v>5.810000000110449E-4</v>
      </c>
    </row>
    <row r="72" spans="1:53" x14ac:dyDescent="0.25">
      <c r="A72" s="38">
        <v>69</v>
      </c>
      <c r="B72" s="139" t="s">
        <v>88</v>
      </c>
      <c r="C72" s="38" t="s">
        <v>138</v>
      </c>
      <c r="D72" s="38" t="s">
        <v>198</v>
      </c>
      <c r="E72" s="48">
        <v>255.11280400000001</v>
      </c>
      <c r="F72" s="102" t="s">
        <v>3</v>
      </c>
      <c r="G72" s="102" t="s">
        <v>3</v>
      </c>
      <c r="H72" s="102" t="s">
        <v>3</v>
      </c>
      <c r="I72" s="103" t="s">
        <v>3</v>
      </c>
      <c r="J72" s="103" t="s">
        <v>3</v>
      </c>
      <c r="K72" s="116">
        <v>-5.4600000000000004E-4</v>
      </c>
      <c r="L72" s="97" t="s">
        <v>3</v>
      </c>
      <c r="M72" s="97">
        <f>255.1129-255.1128</f>
        <v>1.0000000000331966E-4</v>
      </c>
      <c r="N72" s="97">
        <f>255.11301-255.1128</f>
        <v>2.1000000000981345E-4</v>
      </c>
      <c r="O72" s="97">
        <f>255.1129-255.1128</f>
        <v>1.0000000000331966E-4</v>
      </c>
      <c r="P72" s="97">
        <f>255.11301-255.1128</f>
        <v>2.1000000000981345E-4</v>
      </c>
      <c r="Q72" s="97">
        <f>255.1134-255.1128</f>
        <v>6.0000000001991793E-4</v>
      </c>
      <c r="R72" s="97">
        <f>255.1132-255.1128</f>
        <v>4.0000000001327862E-4</v>
      </c>
      <c r="S72" s="97">
        <f>255.1125-255.1128</f>
        <v>-2.9999999998153726E-4</v>
      </c>
      <c r="T72" s="97" t="s">
        <v>3</v>
      </c>
      <c r="U72" s="97">
        <f>255.1131-255.1128</f>
        <v>3.0000000000995897E-4</v>
      </c>
      <c r="V72" s="97">
        <f>255.11301-255.1128</f>
        <v>2.1000000000981345E-4</v>
      </c>
      <c r="W72" s="101">
        <f>255.11301-255.1128</f>
        <v>2.1000000000981345E-4</v>
      </c>
      <c r="X72" s="101">
        <f>255.1129-255.1128</f>
        <v>1.0000000000331966E-4</v>
      </c>
      <c r="Y72" s="101" t="s">
        <v>3</v>
      </c>
      <c r="Z72" s="98" t="s">
        <v>3</v>
      </c>
      <c r="AA72" s="99">
        <f>255.1131-255.1128</f>
        <v>3.0000000000995897E-4</v>
      </c>
      <c r="AB72" s="99" t="s">
        <v>3</v>
      </c>
      <c r="AC72" s="100">
        <f>255.1095-255.1128</f>
        <v>-3.2999999999958618E-3</v>
      </c>
      <c r="AD72" s="100" t="s">
        <v>3</v>
      </c>
      <c r="AE72" s="104">
        <f>255.11283-E72</f>
        <v>2.5999999991199729E-5</v>
      </c>
      <c r="AF72" s="104">
        <f>255.11316-E72</f>
        <v>3.559999999822594E-4</v>
      </c>
      <c r="AG72" s="104" t="s">
        <v>3</v>
      </c>
      <c r="AH72" s="104" t="s">
        <v>3</v>
      </c>
      <c r="AI72" s="105">
        <v>8.8999999999999995E-5</v>
      </c>
      <c r="AJ72" s="105">
        <v>6.1499999999999999E-4</v>
      </c>
      <c r="AK72" s="105">
        <v>9.2400000000000002E-4</v>
      </c>
      <c r="AL72" s="105">
        <v>9.19E-4</v>
      </c>
      <c r="AM72" s="105" t="s">
        <v>3</v>
      </c>
      <c r="AN72" s="111">
        <f>277.094776086512-277.094748</f>
        <v>2.8086512031677557E-5</v>
      </c>
      <c r="AO72" s="106" t="s">
        <v>3</v>
      </c>
      <c r="AP72" s="106" t="s">
        <v>3</v>
      </c>
      <c r="AQ72" s="106" t="s">
        <v>3</v>
      </c>
      <c r="AR72" s="106" t="s">
        <v>3</v>
      </c>
      <c r="AS72" s="107" t="s">
        <v>3</v>
      </c>
      <c r="AT72" s="107">
        <f>255.1152-255.1128</f>
        <v>2.3999999999944066E-3</v>
      </c>
      <c r="AU72" s="107" t="s">
        <v>3</v>
      </c>
      <c r="AV72" s="107" t="s">
        <v>3</v>
      </c>
      <c r="AW72" s="108" t="s">
        <v>3</v>
      </c>
      <c r="AX72" s="108" t="s">
        <v>3</v>
      </c>
      <c r="AY72" s="109" t="s">
        <v>3</v>
      </c>
      <c r="AZ72" s="109" t="s">
        <v>3</v>
      </c>
      <c r="BA72" s="123" t="s">
        <v>3</v>
      </c>
    </row>
    <row r="73" spans="1:53" ht="14.25" customHeight="1" x14ac:dyDescent="0.25">
      <c r="A73" s="38">
        <v>70</v>
      </c>
      <c r="B73" s="139" t="s">
        <v>89</v>
      </c>
      <c r="C73" s="38" t="s">
        <v>138</v>
      </c>
      <c r="D73" s="38" t="s">
        <v>199</v>
      </c>
      <c r="E73" s="48">
        <v>415.16860500000001</v>
      </c>
      <c r="F73" s="102" t="s">
        <v>3</v>
      </c>
      <c r="G73" s="102" t="s">
        <v>3</v>
      </c>
      <c r="H73" s="102" t="s">
        <v>3</v>
      </c>
      <c r="I73" s="103" t="s">
        <v>3</v>
      </c>
      <c r="J73" s="103" t="s">
        <v>3</v>
      </c>
      <c r="K73" s="116" t="s">
        <v>3</v>
      </c>
      <c r="L73" s="97" t="s">
        <v>3</v>
      </c>
      <c r="M73" s="97">
        <f>415.16861-415.16861</f>
        <v>0</v>
      </c>
      <c r="N73" s="97">
        <f>415.16821-415.16861</f>
        <v>-4.0000000001327862E-4</v>
      </c>
      <c r="O73" s="97">
        <f>415.16861-415.16861</f>
        <v>0</v>
      </c>
      <c r="P73" s="97">
        <f>415.16861-415.16861</f>
        <v>0</v>
      </c>
      <c r="Q73" s="97">
        <f>415.16919-415.16861</f>
        <v>5.8000000001356966E-4</v>
      </c>
      <c r="R73" s="97">
        <f>415.16879-415.16861</f>
        <v>1.8000000000029104E-4</v>
      </c>
      <c r="S73" s="97">
        <f>415.1687-415.16861</f>
        <v>9.0000000000145519E-5</v>
      </c>
      <c r="T73" s="97">
        <f>415.16861-415.16861</f>
        <v>0</v>
      </c>
      <c r="U73" s="97">
        <f>415.16779-415.16861</f>
        <v>-8.199999999760621E-4</v>
      </c>
      <c r="V73" s="97" t="s">
        <v>3</v>
      </c>
      <c r="W73" s="101" t="s">
        <v>3</v>
      </c>
      <c r="X73" s="101">
        <f>415.16901-415.16861</f>
        <v>4.0000000001327862E-4</v>
      </c>
      <c r="Y73" s="101" t="s">
        <v>3</v>
      </c>
      <c r="Z73" s="98" t="s">
        <v>3</v>
      </c>
      <c r="AA73" s="99" t="s">
        <v>3</v>
      </c>
      <c r="AB73" s="99" t="s">
        <v>3</v>
      </c>
      <c r="AC73" s="100" t="s">
        <v>3</v>
      </c>
      <c r="AD73" s="100" t="s">
        <v>3</v>
      </c>
      <c r="AE73" s="104">
        <f>415.16976-E73</f>
        <v>1.1549999999829197E-3</v>
      </c>
      <c r="AF73" s="104">
        <f>415.17027-E73</f>
        <v>1.6650000000026921E-3</v>
      </c>
      <c r="AG73" s="104" t="s">
        <v>3</v>
      </c>
      <c r="AH73" s="104" t="s">
        <v>3</v>
      </c>
      <c r="AI73" s="105" t="s">
        <v>3</v>
      </c>
      <c r="AJ73" s="105">
        <v>3.6299999999999999E-4</v>
      </c>
      <c r="AK73" s="105">
        <v>3.4699999999999998E-4</v>
      </c>
      <c r="AL73" s="105">
        <v>4.17E-4</v>
      </c>
      <c r="AM73" s="105" t="s">
        <v>3</v>
      </c>
      <c r="AN73" s="106" t="s">
        <v>3</v>
      </c>
      <c r="AO73" s="106" t="s">
        <v>3</v>
      </c>
      <c r="AP73" s="106" t="s">
        <v>3</v>
      </c>
      <c r="AQ73" s="106" t="s">
        <v>3</v>
      </c>
      <c r="AR73" s="106" t="s">
        <v>3</v>
      </c>
      <c r="AS73" s="107" t="s">
        <v>3</v>
      </c>
      <c r="AT73" s="107" t="s">
        <v>3</v>
      </c>
      <c r="AU73" s="107" t="s">
        <v>3</v>
      </c>
      <c r="AV73" s="107" t="s">
        <v>3</v>
      </c>
      <c r="AW73" s="108" t="s">
        <v>3</v>
      </c>
      <c r="AX73" s="108" t="s">
        <v>3</v>
      </c>
      <c r="AY73" s="109" t="s">
        <v>3</v>
      </c>
      <c r="AZ73" s="109" t="s">
        <v>3</v>
      </c>
      <c r="BA73" s="123" t="s">
        <v>3</v>
      </c>
    </row>
    <row r="74" spans="1:53" x14ac:dyDescent="0.25">
      <c r="A74" s="38">
        <v>71</v>
      </c>
      <c r="B74" s="139" t="s">
        <v>90</v>
      </c>
      <c r="C74" s="38" t="s">
        <v>138</v>
      </c>
      <c r="D74" s="38" t="s">
        <v>200</v>
      </c>
      <c r="E74" s="48">
        <v>373.15804000000003</v>
      </c>
      <c r="F74" s="102" t="s">
        <v>3</v>
      </c>
      <c r="G74" s="102" t="s">
        <v>3</v>
      </c>
      <c r="H74" s="102" t="s">
        <v>3</v>
      </c>
      <c r="I74" s="103" t="s">
        <v>3</v>
      </c>
      <c r="J74" s="103" t="s">
        <v>3</v>
      </c>
      <c r="K74" s="116">
        <f>373.15741-373.158</f>
        <v>-5.8999999998832209E-4</v>
      </c>
      <c r="L74" s="97" t="s">
        <v>3</v>
      </c>
      <c r="M74" s="97">
        <f>373.1582-373.15804</f>
        <v>1.5999999999394277E-4</v>
      </c>
      <c r="N74" s="97">
        <f>373.15811-373.15804</f>
        <v>6.9999999993797246E-5</v>
      </c>
      <c r="O74" s="97">
        <f>373.15781-373.15804</f>
        <v>-2.3000000004458343E-4</v>
      </c>
      <c r="P74" s="97">
        <f>373.15811-373.15804</f>
        <v>6.9999999993797246E-5</v>
      </c>
      <c r="Q74" s="97">
        <f>373.15829-373.15804</f>
        <v>2.4999999999408828E-4</v>
      </c>
      <c r="R74" s="97">
        <f>373.1582-373.15804</f>
        <v>1.5999999999394277E-4</v>
      </c>
      <c r="S74" s="97">
        <f>373.15799-373.15804</f>
        <v>-5.0000000044292392E-5</v>
      </c>
      <c r="T74" s="97">
        <f>373.1582-373.15804</f>
        <v>1.5999999999394277E-4</v>
      </c>
      <c r="U74" s="97" t="s">
        <v>3</v>
      </c>
      <c r="V74" s="97">
        <f>373.15771-373.15804</f>
        <v>-3.3000000001948138E-4</v>
      </c>
      <c r="W74" s="101" t="s">
        <v>3</v>
      </c>
      <c r="X74" s="101">
        <f>373.15869-373.15804</f>
        <v>6.4999999995052349E-4</v>
      </c>
      <c r="Y74" s="101" t="s">
        <v>3</v>
      </c>
      <c r="Z74" s="98" t="s">
        <v>3</v>
      </c>
      <c r="AA74" s="99" t="s">
        <v>3</v>
      </c>
      <c r="AB74" s="99" t="s">
        <v>3</v>
      </c>
      <c r="AC74" s="100" t="s">
        <v>3</v>
      </c>
      <c r="AD74" s="100" t="s">
        <v>3</v>
      </c>
      <c r="AE74" s="104">
        <f>373.1583-E74</f>
        <v>2.5999999996884071E-4</v>
      </c>
      <c r="AF74" s="104">
        <f>373.15819-E74</f>
        <v>1.4999999996234692E-4</v>
      </c>
      <c r="AG74" s="104">
        <f>373.1583-E74</f>
        <v>2.5999999996884071E-4</v>
      </c>
      <c r="AH74" s="104" t="s">
        <v>3</v>
      </c>
      <c r="AI74" s="105">
        <v>1.01E-4</v>
      </c>
      <c r="AJ74" s="105">
        <v>8.8999999999999995E-5</v>
      </c>
      <c r="AK74" s="105">
        <v>3.6200000000000002E-4</v>
      </c>
      <c r="AL74" s="105">
        <v>2.7099999999999997E-4</v>
      </c>
      <c r="AM74" s="105" t="s">
        <v>3</v>
      </c>
      <c r="AN74" s="106" t="s">
        <v>3</v>
      </c>
      <c r="AO74" s="106" t="s">
        <v>3</v>
      </c>
      <c r="AP74" s="106" t="s">
        <v>3</v>
      </c>
      <c r="AQ74" s="106" t="s">
        <v>3</v>
      </c>
      <c r="AR74" s="106" t="s">
        <v>3</v>
      </c>
      <c r="AS74" s="107" t="s">
        <v>3</v>
      </c>
      <c r="AT74" s="107" t="s">
        <v>3</v>
      </c>
      <c r="AU74" s="107" t="s">
        <v>3</v>
      </c>
      <c r="AV74" s="107" t="s">
        <v>3</v>
      </c>
      <c r="AW74" s="108" t="s">
        <v>3</v>
      </c>
      <c r="AX74" s="108" t="s">
        <v>3</v>
      </c>
      <c r="AY74" s="109" t="s">
        <v>3</v>
      </c>
      <c r="AZ74" s="109">
        <v>3.2259999999837419E-3</v>
      </c>
      <c r="BA74" s="123">
        <v>4.4999999994388418E-4</v>
      </c>
    </row>
    <row r="75" spans="1:53" x14ac:dyDescent="0.25">
      <c r="A75" s="38">
        <v>72</v>
      </c>
      <c r="B75" s="139" t="s">
        <v>275</v>
      </c>
      <c r="C75" s="38" t="s">
        <v>138</v>
      </c>
      <c r="D75" s="38" t="s">
        <v>201</v>
      </c>
      <c r="E75" s="48">
        <v>401.15295500000002</v>
      </c>
      <c r="F75" s="102" t="s">
        <v>3</v>
      </c>
      <c r="G75" s="102" t="s">
        <v>3</v>
      </c>
      <c r="H75" s="102" t="s">
        <v>3</v>
      </c>
      <c r="I75" s="103" t="s">
        <v>3</v>
      </c>
      <c r="J75" s="103" t="s">
        <v>3</v>
      </c>
      <c r="K75" s="116" t="s">
        <v>3</v>
      </c>
      <c r="L75" s="97" t="s">
        <v>3</v>
      </c>
      <c r="M75" s="97">
        <f>401.15289-401.153</f>
        <v>-1.1000000000649379E-4</v>
      </c>
      <c r="N75" s="97">
        <f>401.15289-401.153</f>
        <v>-1.1000000000649379E-4</v>
      </c>
      <c r="O75" s="97">
        <f>401.15271-401.153</f>
        <v>-2.9000000000678483E-4</v>
      </c>
      <c r="P75" s="97">
        <f>401.15289-401.153</f>
        <v>-1.1000000000649379E-4</v>
      </c>
      <c r="Q75" s="97">
        <f>401.15289-401.153</f>
        <v>-1.1000000000649379E-4</v>
      </c>
      <c r="R75" s="97">
        <f>401.15311-401.153</f>
        <v>1.1000000000649379E-4</v>
      </c>
      <c r="S75" s="97">
        <f>401.15302-401.153</f>
        <v>2.0000000006348273E-5</v>
      </c>
      <c r="T75" s="97">
        <f>401.15311-401.153</f>
        <v>1.1000000000649379E-4</v>
      </c>
      <c r="U75" s="97">
        <f>401.15219-401.153</f>
        <v>-8.1000000000130967E-4</v>
      </c>
      <c r="V75" s="97">
        <f>401.15131-401.153</f>
        <v>-1.6899999999964166E-3</v>
      </c>
      <c r="W75" s="101" t="s">
        <v>3</v>
      </c>
      <c r="X75" s="101" t="s">
        <v>3</v>
      </c>
      <c r="Y75" s="101" t="s">
        <v>3</v>
      </c>
      <c r="Z75" s="98" t="s">
        <v>3</v>
      </c>
      <c r="AA75" s="99" t="s">
        <v>3</v>
      </c>
      <c r="AB75" s="99" t="s">
        <v>3</v>
      </c>
      <c r="AC75" s="100" t="s">
        <v>3</v>
      </c>
      <c r="AD75" s="100" t="s">
        <v>3</v>
      </c>
      <c r="AE75" s="104">
        <f>401.15105-E75</f>
        <v>-1.905000000022028E-3</v>
      </c>
      <c r="AF75" s="104">
        <f>401.1537-E75</f>
        <v>7.4499999999488864E-4</v>
      </c>
      <c r="AG75" s="104" t="s">
        <v>3</v>
      </c>
      <c r="AH75" s="104" t="s">
        <v>3</v>
      </c>
      <c r="AI75" s="105" t="s">
        <v>3</v>
      </c>
      <c r="AJ75" s="105">
        <v>7.9500000000000003E-4</v>
      </c>
      <c r="AK75" s="105">
        <f>401.15439-401.15295</f>
        <v>1.4400000000023283E-3</v>
      </c>
      <c r="AL75" s="105">
        <v>3.0499999999999999E-4</v>
      </c>
      <c r="AM75" s="105" t="s">
        <v>3</v>
      </c>
      <c r="AN75" s="106" t="s">
        <v>3</v>
      </c>
      <c r="AO75" s="106" t="s">
        <v>3</v>
      </c>
      <c r="AP75" s="106" t="s">
        <v>3</v>
      </c>
      <c r="AQ75" s="106" t="s">
        <v>3</v>
      </c>
      <c r="AR75" s="106" t="s">
        <v>3</v>
      </c>
      <c r="AS75" s="107" t="s">
        <v>3</v>
      </c>
      <c r="AT75" s="107" t="s">
        <v>3</v>
      </c>
      <c r="AU75" s="107" t="s">
        <v>3</v>
      </c>
      <c r="AV75" s="107" t="s">
        <v>3</v>
      </c>
      <c r="AW75" s="108" t="s">
        <v>3</v>
      </c>
      <c r="AX75" s="108" t="s">
        <v>3</v>
      </c>
      <c r="AY75" s="109" t="s">
        <v>3</v>
      </c>
      <c r="AZ75" s="109" t="s">
        <v>3</v>
      </c>
      <c r="BA75" s="123" t="s">
        <v>3</v>
      </c>
    </row>
    <row r="76" spans="1:53" x14ac:dyDescent="0.25">
      <c r="A76" s="38">
        <v>73</v>
      </c>
      <c r="B76" s="139" t="s">
        <v>276</v>
      </c>
      <c r="C76" s="38" t="s">
        <v>138</v>
      </c>
      <c r="D76" s="38" t="s">
        <v>201</v>
      </c>
      <c r="E76" s="48">
        <v>401.15295500000002</v>
      </c>
      <c r="F76" s="102" t="s">
        <v>3</v>
      </c>
      <c r="G76" s="102" t="s">
        <v>3</v>
      </c>
      <c r="H76" s="102" t="s">
        <v>3</v>
      </c>
      <c r="I76" s="103" t="s">
        <v>3</v>
      </c>
      <c r="J76" s="103" t="s">
        <v>3</v>
      </c>
      <c r="K76" s="116" t="s">
        <v>3</v>
      </c>
      <c r="L76" s="97" t="s">
        <v>3</v>
      </c>
      <c r="M76" s="97">
        <f>401.1528-401.153</f>
        <v>-2.0000000000663931E-4</v>
      </c>
      <c r="N76" s="97">
        <f>401.15259-401.153</f>
        <v>-4.1000000004487447E-4</v>
      </c>
      <c r="O76" s="97">
        <f>401.1528-401.153</f>
        <v>-2.0000000000663931E-4</v>
      </c>
      <c r="P76" s="97">
        <f>401.1532-401.153</f>
        <v>2.0000000000663931E-4</v>
      </c>
      <c r="Q76" s="97">
        <f>401.15311-401.153</f>
        <v>1.1000000000649379E-4</v>
      </c>
      <c r="R76" s="97">
        <f>401.15311-401.153</f>
        <v>1.1000000000649379E-4</v>
      </c>
      <c r="S76" s="97">
        <f>401.15311-401.153</f>
        <v>1.1000000000649379E-4</v>
      </c>
      <c r="T76" s="97">
        <f>401.15329-401.153</f>
        <v>2.9000000000678483E-4</v>
      </c>
      <c r="U76" s="97">
        <f>401.15359-401.153</f>
        <v>5.8999999998832209E-4</v>
      </c>
      <c r="V76" s="97">
        <f>401.1528-401.153</f>
        <v>-2.0000000000663931E-4</v>
      </c>
      <c r="W76" s="101" t="s">
        <v>3</v>
      </c>
      <c r="X76" s="101" t="s">
        <v>3</v>
      </c>
      <c r="Y76" s="101" t="s">
        <v>3</v>
      </c>
      <c r="Z76" s="98" t="s">
        <v>3</v>
      </c>
      <c r="AA76" s="99" t="s">
        <v>3</v>
      </c>
      <c r="AB76" s="99" t="s">
        <v>3</v>
      </c>
      <c r="AC76" s="100" t="s">
        <v>3</v>
      </c>
      <c r="AD76" s="100" t="s">
        <v>3</v>
      </c>
      <c r="AE76" s="104">
        <f>401.15356-E76</f>
        <v>6.0500000000729415E-4</v>
      </c>
      <c r="AF76" s="104">
        <f>401.15423-E76</f>
        <v>1.2749999999641659E-3</v>
      </c>
      <c r="AG76" s="104" t="s">
        <v>3</v>
      </c>
      <c r="AH76" s="104" t="s">
        <v>3</v>
      </c>
      <c r="AI76" s="105" t="s">
        <v>3</v>
      </c>
      <c r="AJ76" s="105">
        <f>401.15479-401.15295</f>
        <v>1.8400000000156069E-3</v>
      </c>
      <c r="AK76" s="105">
        <f>401.1525-401.15295</f>
        <v>-4.500000000007276E-4</v>
      </c>
      <c r="AL76" s="105">
        <v>9.3999999999999997E-4</v>
      </c>
      <c r="AM76" s="105" t="s">
        <v>3</v>
      </c>
      <c r="AN76" s="106" t="s">
        <v>3</v>
      </c>
      <c r="AO76" s="106" t="s">
        <v>3</v>
      </c>
      <c r="AP76" s="106" t="s">
        <v>3</v>
      </c>
      <c r="AQ76" s="106" t="s">
        <v>3</v>
      </c>
      <c r="AR76" s="106" t="s">
        <v>3</v>
      </c>
      <c r="AS76" s="107" t="s">
        <v>3</v>
      </c>
      <c r="AT76" s="107" t="s">
        <v>3</v>
      </c>
      <c r="AU76" s="107" t="s">
        <v>3</v>
      </c>
      <c r="AV76" s="107" t="s">
        <v>3</v>
      </c>
      <c r="AW76" s="108" t="s">
        <v>3</v>
      </c>
      <c r="AX76" s="108" t="s">
        <v>3</v>
      </c>
      <c r="AY76" s="109" t="s">
        <v>3</v>
      </c>
      <c r="AZ76" s="109" t="s">
        <v>3</v>
      </c>
      <c r="BA76" s="123" t="s">
        <v>3</v>
      </c>
    </row>
    <row r="77" spans="1:53" x14ac:dyDescent="0.25">
      <c r="A77" s="38">
        <v>74</v>
      </c>
      <c r="B77" s="139" t="s">
        <v>53</v>
      </c>
      <c r="C77" s="38" t="s">
        <v>138</v>
      </c>
      <c r="D77" s="38" t="s">
        <v>202</v>
      </c>
      <c r="E77" s="48">
        <v>423.169464</v>
      </c>
      <c r="F77" s="102">
        <v>2.1499999999999999E-4</v>
      </c>
      <c r="G77" s="102">
        <v>2.1499999999999999E-4</v>
      </c>
      <c r="H77" s="102" t="s">
        <v>3</v>
      </c>
      <c r="I77" s="103" t="s">
        <v>3</v>
      </c>
      <c r="J77" s="103" t="s">
        <v>3</v>
      </c>
      <c r="K77" s="116">
        <f>423.16891-423.1695</f>
        <v>-5.9000000004516551E-4</v>
      </c>
      <c r="L77" s="97" t="s">
        <v>3</v>
      </c>
      <c r="M77" s="97" t="s">
        <v>3</v>
      </c>
      <c r="N77" s="97" t="s">
        <v>3</v>
      </c>
      <c r="O77" s="97">
        <f>423.1684-423.16946</f>
        <v>-1.059999999995398E-3</v>
      </c>
      <c r="P77" s="97" t="s">
        <v>3</v>
      </c>
      <c r="Q77" s="97" t="s">
        <v>3</v>
      </c>
      <c r="R77" s="97" t="s">
        <v>3</v>
      </c>
      <c r="S77" s="97">
        <f>423.1694-423.16946</f>
        <v>-6.0000000019044819E-5</v>
      </c>
      <c r="T77" s="97" t="s">
        <v>3</v>
      </c>
      <c r="U77" s="97">
        <f>423.16989-423.16946</f>
        <v>4.2999999999437932E-4</v>
      </c>
      <c r="V77" s="97" t="s">
        <v>3</v>
      </c>
      <c r="W77" s="101" t="s">
        <v>3</v>
      </c>
      <c r="X77" s="101" t="s">
        <v>3</v>
      </c>
      <c r="Y77" s="101" t="s">
        <v>3</v>
      </c>
      <c r="Z77" s="98">
        <f>423.1705-423.16946</f>
        <v>1.0399999999890497E-3</v>
      </c>
      <c r="AA77" s="99" t="s">
        <v>3</v>
      </c>
      <c r="AB77" s="99" t="s">
        <v>3</v>
      </c>
      <c r="AC77" s="100" t="s">
        <v>3</v>
      </c>
      <c r="AD77" s="100" t="s">
        <v>3</v>
      </c>
      <c r="AE77" s="104">
        <f>423.17006-E77</f>
        <v>5.9599999997317354E-4</v>
      </c>
      <c r="AF77" s="104">
        <f>423.1679-E77</f>
        <v>-1.5640000000303189E-3</v>
      </c>
      <c r="AG77" s="104">
        <f>423.16961-E77</f>
        <v>1.4599999997244595E-4</v>
      </c>
      <c r="AH77" s="104" t="s">
        <v>3</v>
      </c>
      <c r="AI77" s="105" t="s">
        <v>3</v>
      </c>
      <c r="AJ77" s="105">
        <v>-1.6620000000000001E-3</v>
      </c>
      <c r="AK77" s="105">
        <v>1.1280000000000001E-3</v>
      </c>
      <c r="AL77" s="105">
        <v>-6.7100000000000005E-4</v>
      </c>
      <c r="AM77" s="105" t="s">
        <v>3</v>
      </c>
      <c r="AN77" s="111">
        <f>423.169337663381-E77</f>
        <v>-1.2633661901872983E-4</v>
      </c>
      <c r="AO77" s="111">
        <f>423.169586181863-E77</f>
        <v>1.2218186299151057E-4</v>
      </c>
      <c r="AP77" s="111">
        <f>423.168961889644-E77</f>
        <v>-5.021103560238771E-4</v>
      </c>
      <c r="AQ77" s="111">
        <f>423.1696203965-E77</f>
        <v>1.5639650001730843E-4</v>
      </c>
      <c r="AR77" s="111">
        <f>423.169331265654-E77</f>
        <v>-1.3273434598204403E-4</v>
      </c>
      <c r="AS77" s="107" t="s">
        <v>3</v>
      </c>
      <c r="AT77" s="107">
        <f>423.1713-423.16946</f>
        <v>1.8399999999587635E-3</v>
      </c>
      <c r="AU77" s="107" t="s">
        <v>3</v>
      </c>
      <c r="AV77" s="107" t="s">
        <v>3</v>
      </c>
      <c r="AW77" s="108" t="s">
        <v>3</v>
      </c>
      <c r="AX77" s="108" t="s">
        <v>3</v>
      </c>
      <c r="AY77" s="109" t="s">
        <v>3</v>
      </c>
      <c r="AZ77" s="109" t="s">
        <v>3</v>
      </c>
      <c r="BA77" s="123" t="s">
        <v>3</v>
      </c>
    </row>
    <row r="78" spans="1:53" x14ac:dyDescent="0.25">
      <c r="A78" s="38">
        <v>75</v>
      </c>
      <c r="B78" s="139" t="s">
        <v>53</v>
      </c>
      <c r="C78" s="38" t="s">
        <v>139</v>
      </c>
      <c r="D78" s="38" t="s">
        <v>202</v>
      </c>
      <c r="E78" s="48">
        <v>421.15491100000003</v>
      </c>
      <c r="F78" s="102" t="s">
        <v>564</v>
      </c>
      <c r="G78" s="102" t="s">
        <v>564</v>
      </c>
      <c r="H78" s="102" t="s">
        <v>564</v>
      </c>
      <c r="I78" s="103" t="s">
        <v>3</v>
      </c>
      <c r="J78" s="103" t="s">
        <v>3</v>
      </c>
      <c r="K78" s="116">
        <v>-1.2589999999999999E-3</v>
      </c>
      <c r="L78" s="97" t="s">
        <v>3</v>
      </c>
      <c r="M78" s="97">
        <f>421.15381-421.15491</f>
        <v>-1.0999999999512511E-3</v>
      </c>
      <c r="N78" s="97" t="s">
        <v>3</v>
      </c>
      <c r="O78" s="97">
        <f>421.15399-421.15491</f>
        <v>-9.1999999995096005E-4</v>
      </c>
      <c r="P78" s="97" t="s">
        <v>3</v>
      </c>
      <c r="Q78" s="97" t="s">
        <v>3</v>
      </c>
      <c r="R78" s="97" t="s">
        <v>3</v>
      </c>
      <c r="S78" s="97">
        <f>421.15329-421.15491</f>
        <v>-1.6199999999457759E-3</v>
      </c>
      <c r="T78" s="97" t="s">
        <v>3</v>
      </c>
      <c r="U78" s="97">
        <f>421.15341-421.15491</f>
        <v>-1.4999999999645297E-3</v>
      </c>
      <c r="V78" s="97" t="s">
        <v>3</v>
      </c>
      <c r="W78" s="101" t="s">
        <v>564</v>
      </c>
      <c r="X78" s="101" t="s">
        <v>564</v>
      </c>
      <c r="Y78" s="101" t="s">
        <v>564</v>
      </c>
      <c r="Z78" s="98" t="s">
        <v>3</v>
      </c>
      <c r="AA78" s="99" t="s">
        <v>3</v>
      </c>
      <c r="AB78" s="99" t="s">
        <v>3</v>
      </c>
      <c r="AC78" s="100" t="s">
        <v>3</v>
      </c>
      <c r="AD78" s="100" t="s">
        <v>3</v>
      </c>
      <c r="AE78" s="104">
        <f>421.15298-E78</f>
        <v>-1.9310000000132277E-3</v>
      </c>
      <c r="AF78" s="104">
        <f>421.15599-E78</f>
        <v>1.0789999999474276E-3</v>
      </c>
      <c r="AG78" s="104">
        <f>421.15505-E78</f>
        <v>1.3899999999011925E-4</v>
      </c>
      <c r="AH78" s="104" t="s">
        <v>3</v>
      </c>
      <c r="AI78" s="105" t="s">
        <v>3</v>
      </c>
      <c r="AJ78" s="105" t="s">
        <v>564</v>
      </c>
      <c r="AK78" s="105">
        <v>-8.8599999999999996E-4</v>
      </c>
      <c r="AL78" s="105">
        <v>8.0999999999999996E-4</v>
      </c>
      <c r="AM78" s="105" t="s">
        <v>564</v>
      </c>
      <c r="AN78" s="106" t="s">
        <v>564</v>
      </c>
      <c r="AO78" s="106" t="s">
        <v>564</v>
      </c>
      <c r="AP78" s="106" t="s">
        <v>564</v>
      </c>
      <c r="AQ78" s="106" t="s">
        <v>564</v>
      </c>
      <c r="AR78" s="106" t="s">
        <v>564</v>
      </c>
      <c r="AS78" s="107" t="s">
        <v>3</v>
      </c>
      <c r="AT78" s="107" t="s">
        <v>3</v>
      </c>
      <c r="AU78" s="107" t="s">
        <v>3</v>
      </c>
      <c r="AV78" s="107" t="s">
        <v>3</v>
      </c>
      <c r="AW78" s="108" t="s">
        <v>3</v>
      </c>
      <c r="AX78" s="108" t="s">
        <v>3</v>
      </c>
      <c r="AY78" s="109" t="s">
        <v>3</v>
      </c>
      <c r="AZ78" s="109" t="s">
        <v>3</v>
      </c>
      <c r="BA78" s="123" t="s">
        <v>3</v>
      </c>
    </row>
    <row r="79" spans="1:53" x14ac:dyDescent="0.25">
      <c r="A79" s="38">
        <v>76</v>
      </c>
      <c r="B79" s="139" t="s">
        <v>91</v>
      </c>
      <c r="C79" s="38" t="s">
        <v>138</v>
      </c>
      <c r="D79" s="38" t="s">
        <v>203</v>
      </c>
      <c r="E79" s="48">
        <v>437.14872800000001</v>
      </c>
      <c r="F79" s="102">
        <v>-2.9E-4</v>
      </c>
      <c r="G79" s="102">
        <v>-2.9E-4</v>
      </c>
      <c r="H79" s="102" t="s">
        <v>3</v>
      </c>
      <c r="I79" s="103" t="s">
        <v>3</v>
      </c>
      <c r="J79" s="103" t="s">
        <v>3</v>
      </c>
      <c r="K79" s="116" t="s">
        <v>3</v>
      </c>
      <c r="L79" s="97" t="s">
        <v>3</v>
      </c>
      <c r="M79" s="97">
        <f>437.14859-437.14873</f>
        <v>-1.3999999998759449E-4</v>
      </c>
      <c r="N79" s="97">
        <f>437.14841-437.14873</f>
        <v>-3.1999999998788553E-4</v>
      </c>
      <c r="O79" s="97" t="s">
        <v>3</v>
      </c>
      <c r="P79" s="97" t="s">
        <v>3</v>
      </c>
      <c r="Q79" s="97">
        <f>437.1492-437.14873</f>
        <v>4.7000000000707587E-4</v>
      </c>
      <c r="R79" s="97" t="s">
        <v>3</v>
      </c>
      <c r="S79" s="97" t="s">
        <v>3</v>
      </c>
      <c r="T79" s="97" t="s">
        <v>3</v>
      </c>
      <c r="U79" s="97" t="s">
        <v>3</v>
      </c>
      <c r="V79" s="97" t="s">
        <v>3</v>
      </c>
      <c r="W79" s="101" t="s">
        <v>3</v>
      </c>
      <c r="X79" s="101" t="s">
        <v>3</v>
      </c>
      <c r="Y79" s="101" t="s">
        <v>3</v>
      </c>
      <c r="Z79" s="98" t="s">
        <v>3</v>
      </c>
      <c r="AA79" s="99" t="s">
        <v>3</v>
      </c>
      <c r="AB79" s="99" t="s">
        <v>3</v>
      </c>
      <c r="AC79" s="100" t="s">
        <v>3</v>
      </c>
      <c r="AD79" s="100" t="s">
        <v>3</v>
      </c>
      <c r="AE79" s="104" t="s">
        <v>3</v>
      </c>
      <c r="AF79" s="104" t="s">
        <v>3</v>
      </c>
      <c r="AG79" s="104" t="s">
        <v>3</v>
      </c>
      <c r="AH79" s="104" t="s">
        <v>3</v>
      </c>
      <c r="AI79" s="105" t="s">
        <v>3</v>
      </c>
      <c r="AJ79" s="105">
        <v>9.2299999999999999E-4</v>
      </c>
      <c r="AK79" s="105">
        <v>1.1410000000000001E-3</v>
      </c>
      <c r="AL79" s="105">
        <v>1.488E-3</v>
      </c>
      <c r="AM79" s="105" t="s">
        <v>3</v>
      </c>
      <c r="AN79" s="106" t="s">
        <v>3</v>
      </c>
      <c r="AO79" s="106" t="s">
        <v>3</v>
      </c>
      <c r="AP79" s="106" t="s">
        <v>3</v>
      </c>
      <c r="AQ79" s="106" t="s">
        <v>3</v>
      </c>
      <c r="AR79" s="106" t="s">
        <v>3</v>
      </c>
      <c r="AS79" s="107" t="s">
        <v>3</v>
      </c>
      <c r="AT79" s="107">
        <f>437.14481-437.14873</f>
        <v>-3.9199999999937063E-3</v>
      </c>
      <c r="AU79" s="107" t="s">
        <v>3</v>
      </c>
      <c r="AV79" s="107" t="s">
        <v>3</v>
      </c>
      <c r="AW79" s="108" t="s">
        <v>3</v>
      </c>
      <c r="AX79" s="108" t="s">
        <v>3</v>
      </c>
      <c r="AY79" s="109" t="s">
        <v>3</v>
      </c>
      <c r="AZ79" s="109" t="s">
        <v>3</v>
      </c>
      <c r="BA79" s="123" t="s">
        <v>3</v>
      </c>
    </row>
    <row r="80" spans="1:53" x14ac:dyDescent="0.25">
      <c r="A80" s="38">
        <v>77</v>
      </c>
      <c r="B80" s="139" t="s">
        <v>117</v>
      </c>
      <c r="C80" s="38" t="s">
        <v>138</v>
      </c>
      <c r="D80" s="38" t="s">
        <v>204</v>
      </c>
      <c r="E80" s="48">
        <v>384.17402499999997</v>
      </c>
      <c r="F80" s="102" t="s">
        <v>3</v>
      </c>
      <c r="G80" s="102" t="s">
        <v>3</v>
      </c>
      <c r="H80" s="102" t="s">
        <v>3</v>
      </c>
      <c r="I80" s="103" t="s">
        <v>3</v>
      </c>
      <c r="J80" s="103" t="s">
        <v>3</v>
      </c>
      <c r="K80" s="116" t="s">
        <v>3</v>
      </c>
      <c r="L80" s="97" t="s">
        <v>3</v>
      </c>
      <c r="M80" s="97">
        <f>384.1738-384.17402</f>
        <v>-2.1999999995614417E-4</v>
      </c>
      <c r="N80" s="97">
        <f>384.1738-384.17402</f>
        <v>-2.1999999995614417E-4</v>
      </c>
      <c r="O80" s="97">
        <f>384.1741-384.17402</f>
        <v>8.0000000025393092E-5</v>
      </c>
      <c r="P80" s="97">
        <f>384.1745-384.17402</f>
        <v>4.8000000003867171E-4</v>
      </c>
      <c r="Q80" s="97">
        <f>384.1752-384.17402</f>
        <v>1.1800000000334876E-3</v>
      </c>
      <c r="R80" s="97">
        <f>384.1748-384.17402</f>
        <v>7.8000000002020897E-4</v>
      </c>
      <c r="S80" s="97">
        <f>384.17371-384.17402</f>
        <v>-3.0999999995628968E-4</v>
      </c>
      <c r="T80" s="97">
        <f>384.17419-384.17402</f>
        <v>1.7000000002553861E-4</v>
      </c>
      <c r="U80" s="97">
        <f>384.17419-384.17402</f>
        <v>1.7000000002553861E-4</v>
      </c>
      <c r="V80" s="97">
        <f>384.17542-384.17402</f>
        <v>1.3999999999896318E-3</v>
      </c>
      <c r="W80" s="101" t="s">
        <v>3</v>
      </c>
      <c r="X80" s="101" t="s">
        <v>3</v>
      </c>
      <c r="Y80" s="101" t="s">
        <v>3</v>
      </c>
      <c r="Z80" s="98" t="s">
        <v>3</v>
      </c>
      <c r="AA80" s="99" t="s">
        <v>3</v>
      </c>
      <c r="AB80" s="99" t="s">
        <v>3</v>
      </c>
      <c r="AC80" s="100" t="s">
        <v>3</v>
      </c>
      <c r="AD80" s="100" t="s">
        <v>3</v>
      </c>
      <c r="AE80" s="104">
        <f>384.1729-E80</f>
        <v>-1.1249999999449756E-3</v>
      </c>
      <c r="AF80" s="104">
        <f>384.17622-E80</f>
        <v>2.1950000000288128E-3</v>
      </c>
      <c r="AG80" s="104" t="s">
        <v>3</v>
      </c>
      <c r="AH80" s="104" t="s">
        <v>3</v>
      </c>
      <c r="AI80" s="105" t="s">
        <v>3</v>
      </c>
      <c r="AJ80" s="105">
        <v>1.0950000000000001E-3</v>
      </c>
      <c r="AK80" s="105" t="s">
        <v>3</v>
      </c>
      <c r="AL80" s="105">
        <v>6.96E-4</v>
      </c>
      <c r="AM80" s="105" t="s">
        <v>3</v>
      </c>
      <c r="AN80" s="106" t="s">
        <v>3</v>
      </c>
      <c r="AO80" s="106" t="s">
        <v>3</v>
      </c>
      <c r="AP80" s="106" t="s">
        <v>3</v>
      </c>
      <c r="AQ80" s="106" t="s">
        <v>3</v>
      </c>
      <c r="AR80" s="106" t="s">
        <v>3</v>
      </c>
      <c r="AS80" s="107" t="s">
        <v>3</v>
      </c>
      <c r="AT80" s="107" t="s">
        <v>3</v>
      </c>
      <c r="AU80" s="107" t="s">
        <v>3</v>
      </c>
      <c r="AV80" s="107" t="s">
        <v>3</v>
      </c>
      <c r="AW80" s="108" t="s">
        <v>3</v>
      </c>
      <c r="AX80" s="108" t="s">
        <v>3</v>
      </c>
      <c r="AY80" s="109" t="s">
        <v>3</v>
      </c>
      <c r="AZ80" s="109" t="s">
        <v>3</v>
      </c>
      <c r="BA80" s="123" t="s">
        <v>3</v>
      </c>
    </row>
    <row r="81" spans="1:53" x14ac:dyDescent="0.25">
      <c r="A81" s="38">
        <v>78</v>
      </c>
      <c r="B81" s="139" t="s">
        <v>92</v>
      </c>
      <c r="C81" s="38" t="s">
        <v>138</v>
      </c>
      <c r="D81" s="38" t="s">
        <v>205</v>
      </c>
      <c r="E81" s="48">
        <v>296.12159500000001</v>
      </c>
      <c r="F81" s="102" t="s">
        <v>3</v>
      </c>
      <c r="G81" s="102" t="s">
        <v>3</v>
      </c>
      <c r="H81" s="102" t="s">
        <v>3</v>
      </c>
      <c r="I81" s="103" t="s">
        <v>3</v>
      </c>
      <c r="J81" s="103" t="s">
        <v>3</v>
      </c>
      <c r="K81" s="116">
        <f>296.12051-296.1216</f>
        <v>-1.0899999999764987E-3</v>
      </c>
      <c r="L81" s="97" t="s">
        <v>3</v>
      </c>
      <c r="M81" s="97">
        <f>296.12131-296.1216</f>
        <v>-2.9000000000678483E-4</v>
      </c>
      <c r="N81" s="97">
        <f>296.1214-296.1216</f>
        <v>-2.0000000000663931E-4</v>
      </c>
      <c r="O81" s="97">
        <f>296.12119-296.1216</f>
        <v>-4.0999999998803105E-4</v>
      </c>
      <c r="P81" s="97">
        <f>296.1214-296.1216</f>
        <v>-2.0000000000663931E-4</v>
      </c>
      <c r="Q81" s="97">
        <f>296.12161-296.1216</f>
        <v>9.9999999747524271E-6</v>
      </c>
      <c r="R81" s="97">
        <f>296.1214-296.1216</f>
        <v>-2.0000000000663931E-4</v>
      </c>
      <c r="S81" s="97">
        <f>296.12119-296.1216</f>
        <v>-4.0999999998803105E-4</v>
      </c>
      <c r="T81" s="97">
        <f>296.12119-296.1216</f>
        <v>-4.0999999998803105E-4</v>
      </c>
      <c r="U81" s="97">
        <f>296.1214-296.1216</f>
        <v>-2.0000000000663931E-4</v>
      </c>
      <c r="V81" s="97">
        <f>296.12079-296.1216</f>
        <v>-8.1000000000130967E-4</v>
      </c>
      <c r="W81" s="101" t="s">
        <v>3</v>
      </c>
      <c r="X81" s="101" t="s">
        <v>3</v>
      </c>
      <c r="Y81" s="101" t="s">
        <v>3</v>
      </c>
      <c r="Z81" s="98" t="s">
        <v>3</v>
      </c>
      <c r="AA81" s="99" t="s">
        <v>3</v>
      </c>
      <c r="AB81" s="99" t="s">
        <v>3</v>
      </c>
      <c r="AC81" s="100" t="s">
        <v>3</v>
      </c>
      <c r="AD81" s="100" t="s">
        <v>3</v>
      </c>
      <c r="AE81" s="104">
        <f>296.12092-E81</f>
        <v>-6.7500000000109139E-4</v>
      </c>
      <c r="AF81" s="104">
        <f>296.12251-E81</f>
        <v>9.1499999996358383E-4</v>
      </c>
      <c r="AG81" s="104">
        <f>296.12136-E81</f>
        <v>-2.3500000003195964E-4</v>
      </c>
      <c r="AH81" s="104" t="s">
        <v>3</v>
      </c>
      <c r="AI81" s="105" t="s">
        <v>3</v>
      </c>
      <c r="AJ81" s="105">
        <v>1.3370000000000001E-3</v>
      </c>
      <c r="AK81" s="105" t="s">
        <v>3</v>
      </c>
      <c r="AL81" s="105">
        <v>9.9400000000000009E-4</v>
      </c>
      <c r="AM81" s="105" t="s">
        <v>3</v>
      </c>
      <c r="AN81" s="106" t="s">
        <v>3</v>
      </c>
      <c r="AO81" s="106" t="s">
        <v>3</v>
      </c>
      <c r="AP81" s="106" t="s">
        <v>3</v>
      </c>
      <c r="AQ81" s="106" t="s">
        <v>3</v>
      </c>
      <c r="AR81" s="106" t="s">
        <v>3</v>
      </c>
      <c r="AS81" s="107" t="s">
        <v>3</v>
      </c>
      <c r="AT81" s="107" t="s">
        <v>3</v>
      </c>
      <c r="AU81" s="107" t="s">
        <v>3</v>
      </c>
      <c r="AV81" s="107" t="s">
        <v>3</v>
      </c>
      <c r="AW81" s="108" t="s">
        <v>3</v>
      </c>
      <c r="AX81" s="108" t="s">
        <v>3</v>
      </c>
      <c r="AY81" s="109">
        <v>-1.3599999999769352E-4</v>
      </c>
      <c r="AZ81" s="109" t="s">
        <v>3</v>
      </c>
      <c r="BA81" s="123" t="s">
        <v>3</v>
      </c>
    </row>
    <row r="82" spans="1:53" x14ac:dyDescent="0.25">
      <c r="A82" s="38">
        <v>79</v>
      </c>
      <c r="B82" s="139" t="s">
        <v>93</v>
      </c>
      <c r="C82" s="38" t="s">
        <v>138</v>
      </c>
      <c r="D82" s="38" t="s">
        <v>206</v>
      </c>
      <c r="E82" s="48">
        <v>408.12535600000001</v>
      </c>
      <c r="F82" s="102">
        <v>-1.4090000000000001E-3</v>
      </c>
      <c r="G82" s="102">
        <v>-2.0639999999999999E-3</v>
      </c>
      <c r="H82" s="102" t="s">
        <v>3</v>
      </c>
      <c r="I82" s="103" t="s">
        <v>3</v>
      </c>
      <c r="J82" s="103" t="s">
        <v>3</v>
      </c>
      <c r="K82" s="116">
        <f>408.12411-408.1254</f>
        <v>-1.2900000000399814E-3</v>
      </c>
      <c r="L82" s="97" t="s">
        <v>3</v>
      </c>
      <c r="M82" s="97">
        <f>408.12531-408.12536</f>
        <v>-4.9999999987448973E-5</v>
      </c>
      <c r="N82" s="97">
        <f>408.12549-408.12536</f>
        <v>1.3000000001284207E-4</v>
      </c>
      <c r="O82" s="97">
        <f>408.12479-408.12536</f>
        <v>-5.6999999998197382E-4</v>
      </c>
      <c r="P82" s="97">
        <f>408.12451-408.12536</f>
        <v>-8.5000000001400622E-4</v>
      </c>
      <c r="Q82" s="97">
        <f>408.12601-408.12536</f>
        <v>6.5000000000736691E-4</v>
      </c>
      <c r="R82" s="97">
        <f>408.12479-408.12536</f>
        <v>-5.6999999998197382E-4</v>
      </c>
      <c r="S82" s="97">
        <f>408.12521-408.12536</f>
        <v>-1.5000000001919034E-4</v>
      </c>
      <c r="T82" s="97">
        <f>408.12451-408.12536</f>
        <v>-8.5000000001400622E-4</v>
      </c>
      <c r="U82" s="97">
        <f>408.12509-408.12536</f>
        <v>-2.7000000000043656E-4</v>
      </c>
      <c r="V82" s="97">
        <f>408.1254-408.12536</f>
        <v>4.0000000012696546E-5</v>
      </c>
      <c r="W82" s="101">
        <f>408.1254-408.12536</f>
        <v>4.0000000012696546E-5</v>
      </c>
      <c r="X82" s="101">
        <f>408.12549-408.12536</f>
        <v>1.3000000001284207E-4</v>
      </c>
      <c r="Y82" s="101" t="s">
        <v>3</v>
      </c>
      <c r="Z82" s="98" t="s">
        <v>3</v>
      </c>
      <c r="AA82" s="99">
        <f>408.12549-408.12536</f>
        <v>1.3000000001284207E-4</v>
      </c>
      <c r="AB82" s="99" t="s">
        <v>3</v>
      </c>
      <c r="AC82" s="100" t="s">
        <v>3</v>
      </c>
      <c r="AD82" s="100" t="s">
        <v>3</v>
      </c>
      <c r="AE82" s="104">
        <f>408.12553-E82</f>
        <v>1.7400000001543958E-4</v>
      </c>
      <c r="AF82" s="104">
        <f>408.12676-E82</f>
        <v>1.4039999999795327E-3</v>
      </c>
      <c r="AG82" s="104" t="s">
        <v>3</v>
      </c>
      <c r="AH82" s="104" t="s">
        <v>3</v>
      </c>
      <c r="AI82" s="105">
        <v>1.108E-3</v>
      </c>
      <c r="AJ82" s="105">
        <v>-4.73E-4</v>
      </c>
      <c r="AK82" s="105">
        <v>1.041E-3</v>
      </c>
      <c r="AL82" s="105">
        <v>1.7200000000000001E-4</v>
      </c>
      <c r="AM82" s="105" t="s">
        <v>3</v>
      </c>
      <c r="AN82" s="106" t="s">
        <v>3</v>
      </c>
      <c r="AO82" s="106" t="s">
        <v>3</v>
      </c>
      <c r="AP82" s="106" t="s">
        <v>3</v>
      </c>
      <c r="AQ82" s="106" t="s">
        <v>3</v>
      </c>
      <c r="AR82" s="106" t="s">
        <v>3</v>
      </c>
      <c r="AS82" s="107" t="s">
        <v>3</v>
      </c>
      <c r="AT82" s="107">
        <f>408.12469-408.12536</f>
        <v>-6.7000000001371518E-4</v>
      </c>
      <c r="AU82" s="107" t="s">
        <v>3</v>
      </c>
      <c r="AV82" s="107">
        <f>408.1243-408.12536</f>
        <v>-1.059999999995398E-3</v>
      </c>
      <c r="AW82" s="108" t="s">
        <v>3</v>
      </c>
      <c r="AX82" s="108">
        <v>-3.7900000000945511E-4</v>
      </c>
      <c r="AY82" s="109">
        <v>-3.4299999998665953E-4</v>
      </c>
      <c r="AZ82" s="109">
        <v>3.237000000012813E-3</v>
      </c>
      <c r="BA82" s="123">
        <v>5.1400000000967339E-4</v>
      </c>
    </row>
    <row r="83" spans="1:53" x14ac:dyDescent="0.25">
      <c r="A83" s="38">
        <v>80</v>
      </c>
      <c r="B83" s="139" t="s">
        <v>94</v>
      </c>
      <c r="C83" s="38" t="s">
        <v>138</v>
      </c>
      <c r="D83" s="38" t="s">
        <v>207</v>
      </c>
      <c r="E83" s="48">
        <v>304.201954</v>
      </c>
      <c r="F83" s="102" t="s">
        <v>3</v>
      </c>
      <c r="G83" s="102" t="s">
        <v>3</v>
      </c>
      <c r="H83" s="102" t="s">
        <v>3</v>
      </c>
      <c r="I83" s="103" t="s">
        <v>3</v>
      </c>
      <c r="J83" s="103" t="s">
        <v>3</v>
      </c>
      <c r="K83" s="116" t="s">
        <v>3</v>
      </c>
      <c r="L83" s="97" t="s">
        <v>3</v>
      </c>
      <c r="M83" s="97" t="s">
        <v>3</v>
      </c>
      <c r="N83" s="97">
        <f>304.202-304.20195</f>
        <v>4.9999999987448973E-5</v>
      </c>
      <c r="O83" s="97">
        <f>304.2019-304.20195</f>
        <v>-4.9999999987448973E-5</v>
      </c>
      <c r="P83" s="97">
        <f>304.20181-304.20195</f>
        <v>-1.3999999998759449E-4</v>
      </c>
      <c r="Q83" s="97">
        <f>304.20261-304.20195</f>
        <v>6.5999999998211933E-4</v>
      </c>
      <c r="R83" s="97">
        <f>304.2023-304.20195</f>
        <v>3.4999999996898623E-4</v>
      </c>
      <c r="S83" s="97">
        <f>304.20081-304.20195</f>
        <v>-1.140000000020791E-3</v>
      </c>
      <c r="T83" s="97">
        <f>304.2019-304.20195</f>
        <v>-4.9999999987448973E-5</v>
      </c>
      <c r="U83" s="97">
        <f>304.20181-304.20195</f>
        <v>-1.3999999998759449E-4</v>
      </c>
      <c r="V83" s="97">
        <f>304.20181-304.20195</f>
        <v>-1.3999999998759449E-4</v>
      </c>
      <c r="W83" s="101">
        <f>304.20221-304.20195</f>
        <v>2.5999999996884071E-4</v>
      </c>
      <c r="X83" s="101">
        <f>304.20209-304.20195</f>
        <v>1.3999999998759449E-4</v>
      </c>
      <c r="Y83" s="101" t="s">
        <v>3</v>
      </c>
      <c r="Z83" s="98">
        <f>304.2027-304.20195</f>
        <v>7.4999999998226485E-4</v>
      </c>
      <c r="AA83" s="99">
        <f>304.20181-304.20195</f>
        <v>-1.3999999998759449E-4</v>
      </c>
      <c r="AB83" s="99"/>
      <c r="AC83" s="100" t="s">
        <v>3</v>
      </c>
      <c r="AD83" s="100" t="s">
        <v>3</v>
      </c>
      <c r="AE83" s="104">
        <f>304.20235-E83</f>
        <v>3.9600000002337765E-4</v>
      </c>
      <c r="AF83" s="104">
        <f>304.203-E83</f>
        <v>1.0459999999739011E-3</v>
      </c>
      <c r="AG83" s="104" t="s">
        <v>3</v>
      </c>
      <c r="AH83" s="104" t="s">
        <v>3</v>
      </c>
      <c r="AI83" s="105">
        <v>8.6600000000000002E-4</v>
      </c>
      <c r="AJ83" s="105">
        <v>5.8500000000000002E-4</v>
      </c>
      <c r="AK83" s="105">
        <v>7.4899999999999999E-4</v>
      </c>
      <c r="AL83" s="105">
        <v>4.1999999999999998E-5</v>
      </c>
      <c r="AM83" s="105" t="s">
        <v>3</v>
      </c>
      <c r="AN83" s="106" t="s">
        <v>3</v>
      </c>
      <c r="AO83" s="106" t="s">
        <v>3</v>
      </c>
      <c r="AP83" s="106" t="s">
        <v>3</v>
      </c>
      <c r="AQ83" s="106" t="s">
        <v>3</v>
      </c>
      <c r="AR83" s="106" t="s">
        <v>3</v>
      </c>
      <c r="AS83" s="107" t="s">
        <v>3</v>
      </c>
      <c r="AT83" s="107" t="s">
        <v>3</v>
      </c>
      <c r="AU83" s="107" t="s">
        <v>3</v>
      </c>
      <c r="AV83" s="107" t="s">
        <v>3</v>
      </c>
      <c r="AW83" s="108" t="s">
        <v>3</v>
      </c>
      <c r="AX83" s="108" t="s">
        <v>3</v>
      </c>
      <c r="AY83" s="109" t="s">
        <v>3</v>
      </c>
      <c r="AZ83" s="109" t="s">
        <v>3</v>
      </c>
      <c r="BA83" s="123">
        <v>3.0600000002323213E-4</v>
      </c>
    </row>
    <row r="84" spans="1:53" x14ac:dyDescent="0.25">
      <c r="A84" s="38">
        <v>81</v>
      </c>
      <c r="B84" s="139" t="s">
        <v>54</v>
      </c>
      <c r="C84" s="38" t="s">
        <v>138</v>
      </c>
      <c r="D84" s="38" t="s">
        <v>208</v>
      </c>
      <c r="E84" s="48">
        <v>346.12198899999999</v>
      </c>
      <c r="F84" s="102" t="s">
        <v>3</v>
      </c>
      <c r="G84" s="102" t="s">
        <v>3</v>
      </c>
      <c r="H84" s="102" t="s">
        <v>3</v>
      </c>
      <c r="I84" s="103" t="s">
        <v>3</v>
      </c>
      <c r="J84" s="103" t="s">
        <v>3</v>
      </c>
      <c r="K84" s="116" t="s">
        <v>3</v>
      </c>
      <c r="L84" s="97" t="s">
        <v>3</v>
      </c>
      <c r="M84" s="97" t="s">
        <v>3</v>
      </c>
      <c r="N84" s="97">
        <f>346.1228-346.12199</f>
        <v>8.1000000000130967E-4</v>
      </c>
      <c r="O84" s="97">
        <f>346.12241-346.12199</f>
        <v>4.200000000196269E-4</v>
      </c>
      <c r="P84" s="97" t="s">
        <v>3</v>
      </c>
      <c r="Q84" s="97" t="s">
        <v>3</v>
      </c>
      <c r="R84" s="97" t="s">
        <v>3</v>
      </c>
      <c r="S84" s="97">
        <f>346.1221-346.12199</f>
        <v>1.1000000000649379E-4</v>
      </c>
      <c r="T84" s="97">
        <f>346.1218-346.12199</f>
        <v>-1.8999999997504347E-4</v>
      </c>
      <c r="U84" s="97">
        <f>346.12091-346.12199</f>
        <v>-1.0800000000017462E-3</v>
      </c>
      <c r="V84" s="97" t="s">
        <v>3</v>
      </c>
      <c r="W84" s="101" t="s">
        <v>3</v>
      </c>
      <c r="X84" s="101" t="s">
        <v>3</v>
      </c>
      <c r="Y84" s="101" t="s">
        <v>3</v>
      </c>
      <c r="Z84" s="98" t="s">
        <v>3</v>
      </c>
      <c r="AA84" s="99" t="s">
        <v>3</v>
      </c>
      <c r="AB84" s="99" t="s">
        <v>3</v>
      </c>
      <c r="AC84" s="100" t="s">
        <v>3</v>
      </c>
      <c r="AD84" s="100" t="s">
        <v>3</v>
      </c>
      <c r="AE84" s="104">
        <f>346.12239-E84</f>
        <v>4.0100000001075387E-4</v>
      </c>
      <c r="AF84" s="104">
        <f>346.12202-E84</f>
        <v>3.1000000035419362E-5</v>
      </c>
      <c r="AG84" s="104">
        <f>346.12053-E84</f>
        <v>-1.4590000000112013E-3</v>
      </c>
      <c r="AH84" s="104" t="s">
        <v>3</v>
      </c>
      <c r="AI84" s="105" t="s">
        <v>3</v>
      </c>
      <c r="AJ84" s="105">
        <v>4.3399999999999998E-4</v>
      </c>
      <c r="AK84" s="105">
        <v>4.3800000000000002E-4</v>
      </c>
      <c r="AL84" s="105">
        <v>1.08E-3</v>
      </c>
      <c r="AM84" s="105" t="s">
        <v>3</v>
      </c>
      <c r="AN84" s="106" t="s">
        <v>3</v>
      </c>
      <c r="AO84" s="106" t="s">
        <v>3</v>
      </c>
      <c r="AP84" s="106" t="s">
        <v>3</v>
      </c>
      <c r="AQ84" s="106" t="s">
        <v>3</v>
      </c>
      <c r="AR84" s="106" t="s">
        <v>3</v>
      </c>
      <c r="AS84" s="107" t="s">
        <v>3</v>
      </c>
      <c r="AT84" s="107" t="s">
        <v>3</v>
      </c>
      <c r="AU84" s="107" t="s">
        <v>3</v>
      </c>
      <c r="AV84" s="107" t="s">
        <v>3</v>
      </c>
      <c r="AW84" s="108" t="s">
        <v>3</v>
      </c>
      <c r="AX84" s="108" t="s">
        <v>3</v>
      </c>
      <c r="AY84" s="109" t="s">
        <v>3</v>
      </c>
      <c r="AZ84" s="109" t="s">
        <v>3</v>
      </c>
      <c r="BA84" s="123">
        <v>1.0010000000306718E-3</v>
      </c>
    </row>
    <row r="85" spans="1:53" x14ac:dyDescent="0.25">
      <c r="A85" s="38">
        <v>82</v>
      </c>
      <c r="B85" s="139" t="s">
        <v>54</v>
      </c>
      <c r="C85" s="38" t="s">
        <v>139</v>
      </c>
      <c r="D85" s="38" t="s">
        <v>208</v>
      </c>
      <c r="E85" s="48">
        <v>344.10743600000001</v>
      </c>
      <c r="F85" s="102" t="s">
        <v>564</v>
      </c>
      <c r="G85" s="102" t="s">
        <v>564</v>
      </c>
      <c r="H85" s="102" t="s">
        <v>564</v>
      </c>
      <c r="I85" s="103" t="s">
        <v>3</v>
      </c>
      <c r="J85" s="103" t="s">
        <v>3</v>
      </c>
      <c r="K85" s="116" t="s">
        <v>3</v>
      </c>
      <c r="L85" s="97" t="s">
        <v>3</v>
      </c>
      <c r="M85" s="97" t="s">
        <v>3</v>
      </c>
      <c r="N85" s="97" t="s">
        <v>3</v>
      </c>
      <c r="O85" s="97" t="s">
        <v>3</v>
      </c>
      <c r="P85" s="97" t="s">
        <v>3</v>
      </c>
      <c r="Q85" s="97" t="s">
        <v>3</v>
      </c>
      <c r="R85" s="97" t="s">
        <v>3</v>
      </c>
      <c r="S85" s="97" t="s">
        <v>3</v>
      </c>
      <c r="T85" s="97" t="s">
        <v>3</v>
      </c>
      <c r="U85" s="97" t="s">
        <v>3</v>
      </c>
      <c r="V85" s="97" t="s">
        <v>3</v>
      </c>
      <c r="W85" s="101" t="s">
        <v>564</v>
      </c>
      <c r="X85" s="101" t="s">
        <v>564</v>
      </c>
      <c r="Y85" s="101" t="s">
        <v>564</v>
      </c>
      <c r="Z85" s="98" t="s">
        <v>3</v>
      </c>
      <c r="AA85" s="99" t="s">
        <v>3</v>
      </c>
      <c r="AB85" s="99" t="s">
        <v>3</v>
      </c>
      <c r="AC85" s="100" t="s">
        <v>3</v>
      </c>
      <c r="AD85" s="100" t="s">
        <v>3</v>
      </c>
      <c r="AE85" s="104" t="s">
        <v>3</v>
      </c>
      <c r="AF85" s="104" t="s">
        <v>3</v>
      </c>
      <c r="AG85" s="104" t="s">
        <v>3</v>
      </c>
      <c r="AH85" s="104" t="s">
        <v>3</v>
      </c>
      <c r="AI85" s="105" t="s">
        <v>3</v>
      </c>
      <c r="AJ85" s="105" t="s">
        <v>564</v>
      </c>
      <c r="AK85" s="105" t="s">
        <v>3</v>
      </c>
      <c r="AL85" s="105" t="s">
        <v>3</v>
      </c>
      <c r="AM85" s="105" t="s">
        <v>564</v>
      </c>
      <c r="AN85" s="106" t="s">
        <v>564</v>
      </c>
      <c r="AO85" s="106" t="s">
        <v>564</v>
      </c>
      <c r="AP85" s="106" t="s">
        <v>564</v>
      </c>
      <c r="AQ85" s="106" t="s">
        <v>564</v>
      </c>
      <c r="AR85" s="106" t="s">
        <v>564</v>
      </c>
      <c r="AS85" s="107" t="s">
        <v>3</v>
      </c>
      <c r="AT85" s="107" t="s">
        <v>3</v>
      </c>
      <c r="AU85" s="107" t="s">
        <v>3</v>
      </c>
      <c r="AV85" s="107" t="s">
        <v>3</v>
      </c>
      <c r="AW85" s="108" t="s">
        <v>3</v>
      </c>
      <c r="AX85" s="108" t="s">
        <v>3</v>
      </c>
      <c r="AY85" s="109" t="s">
        <v>3</v>
      </c>
      <c r="AZ85" s="109" t="s">
        <v>3</v>
      </c>
      <c r="BA85" s="123" t="s">
        <v>3</v>
      </c>
    </row>
    <row r="86" spans="1:53" x14ac:dyDescent="0.25">
      <c r="A86" s="38">
        <v>83</v>
      </c>
      <c r="B86" s="139" t="s">
        <v>95</v>
      </c>
      <c r="C86" s="38" t="s">
        <v>138</v>
      </c>
      <c r="D86" s="38" t="s">
        <v>209</v>
      </c>
      <c r="E86" s="48">
        <v>316.111424</v>
      </c>
      <c r="F86" s="102">
        <v>-1.789E-3</v>
      </c>
      <c r="G86" s="102">
        <v>-1.9610000000000001E-3</v>
      </c>
      <c r="H86" s="102" t="s">
        <v>3</v>
      </c>
      <c r="I86" s="103" t="s">
        <v>3</v>
      </c>
      <c r="J86" s="103" t="s">
        <v>3</v>
      </c>
      <c r="K86" s="116" t="s">
        <v>3</v>
      </c>
      <c r="L86" s="97" t="s">
        <v>3</v>
      </c>
      <c r="M86" s="97">
        <f>316.1116-316.1114</f>
        <v>2.0000000000663931E-4</v>
      </c>
      <c r="N86" s="97">
        <f>316.1116-316.1114</f>
        <v>2.0000000000663931E-4</v>
      </c>
      <c r="O86" s="97">
        <f>316.11151-316.1114</f>
        <v>1.1000000000649379E-4</v>
      </c>
      <c r="P86" s="97">
        <f>316.11169-316.1114</f>
        <v>2.9000000000678483E-4</v>
      </c>
      <c r="Q86" s="97">
        <f>316.11209-316.1114</f>
        <v>6.9000000002006345E-4</v>
      </c>
      <c r="R86" s="97">
        <f>316.1116-316.1114</f>
        <v>2.0000000000663931E-4</v>
      </c>
      <c r="S86" s="97">
        <f>316.11139-316.1114</f>
        <v>-1.0000000031595846E-5</v>
      </c>
      <c r="T86" s="97">
        <f>316.1109-316.1114</f>
        <v>-4.9999999998817657E-4</v>
      </c>
      <c r="U86" s="97">
        <f>316.11081-316.1114</f>
        <v>-5.8999999998832209E-4</v>
      </c>
      <c r="V86" s="97">
        <f>316.11151-316.1114</f>
        <v>1.1000000000649379E-4</v>
      </c>
      <c r="W86" s="101">
        <f>316.10931-316.1114</f>
        <v>-2.0900000000096952E-3</v>
      </c>
      <c r="X86" s="101">
        <f>316.10941-316.1114</f>
        <v>-1.9899999999779538E-3</v>
      </c>
      <c r="Y86" s="101" t="s">
        <v>3</v>
      </c>
      <c r="Z86" s="98">
        <f>316.10941-316.1114</f>
        <v>-1.9899999999779538E-3</v>
      </c>
      <c r="AA86" s="99">
        <f>316.1116-316.1114</f>
        <v>2.0000000000663931E-4</v>
      </c>
      <c r="AB86" s="99" t="s">
        <v>3</v>
      </c>
      <c r="AC86" s="100">
        <f>316.11209-316.1114</f>
        <v>6.9000000002006345E-4</v>
      </c>
      <c r="AD86" s="100" t="s">
        <v>3</v>
      </c>
      <c r="AE86" s="104" t="s">
        <v>3</v>
      </c>
      <c r="AF86" s="104" t="s">
        <v>3</v>
      </c>
      <c r="AG86" s="104" t="s">
        <v>3</v>
      </c>
      <c r="AH86" s="104" t="s">
        <v>3</v>
      </c>
      <c r="AI86" s="105">
        <v>8.5999999999999998E-4</v>
      </c>
      <c r="AJ86" s="105">
        <v>6.8000000000000005E-4</v>
      </c>
      <c r="AK86" s="105">
        <v>9.1699999999999995E-4</v>
      </c>
      <c r="AL86" s="105">
        <v>7.4299999999999995E-4</v>
      </c>
      <c r="AM86" s="105" t="s">
        <v>3</v>
      </c>
      <c r="AN86" s="106" t="s">
        <v>3</v>
      </c>
      <c r="AO86" s="106" t="s">
        <v>3</v>
      </c>
      <c r="AP86" s="106" t="s">
        <v>3</v>
      </c>
      <c r="AQ86" s="106" t="s">
        <v>3</v>
      </c>
      <c r="AR86" s="106" t="s">
        <v>3</v>
      </c>
      <c r="AS86" s="107" t="s">
        <v>3</v>
      </c>
      <c r="AT86" s="107" t="s">
        <v>3</v>
      </c>
      <c r="AU86" s="107" t="s">
        <v>3</v>
      </c>
      <c r="AV86" s="107" t="s">
        <v>3</v>
      </c>
      <c r="AW86" s="108" t="s">
        <v>3</v>
      </c>
      <c r="AX86" s="108" t="s">
        <v>3</v>
      </c>
      <c r="AY86" s="109" t="s">
        <v>3</v>
      </c>
      <c r="AZ86" s="109">
        <v>2.1570000000110667E-3</v>
      </c>
      <c r="BA86" s="123">
        <v>2.3599999997259147E-4</v>
      </c>
    </row>
    <row r="87" spans="1:53" x14ac:dyDescent="0.25">
      <c r="A87" s="38">
        <v>84</v>
      </c>
      <c r="B87" s="139" t="s">
        <v>55</v>
      </c>
      <c r="C87" s="38" t="s">
        <v>138</v>
      </c>
      <c r="D87" s="38" t="s">
        <v>210</v>
      </c>
      <c r="E87" s="48">
        <v>436.23431599999998</v>
      </c>
      <c r="F87" s="102">
        <v>6.9999999999999999E-4</v>
      </c>
      <c r="G87" s="102">
        <v>6.9999999999999999E-4</v>
      </c>
      <c r="H87" s="102">
        <f>(436.23499-E87)</f>
        <v>6.7400000000361615E-4</v>
      </c>
      <c r="I87" s="103" t="s">
        <v>3</v>
      </c>
      <c r="J87" s="103" t="s">
        <v>3</v>
      </c>
      <c r="K87" s="116">
        <f>436.23431-436.2343</f>
        <v>9.9999999747524271E-6</v>
      </c>
      <c r="L87" s="97" t="s">
        <v>3</v>
      </c>
      <c r="M87" s="97">
        <f>436.2345-436.23432</f>
        <v>1.8000000000029104E-4</v>
      </c>
      <c r="N87" s="97">
        <f>436.23389-436.23432</f>
        <v>-4.3000000005122274E-4</v>
      </c>
      <c r="O87" s="97">
        <f>436.23441-436.23432</f>
        <v>9.0000000000145519E-5</v>
      </c>
      <c r="P87" s="97">
        <f>436.23431-436.23432</f>
        <v>-1.0000000031595846E-5</v>
      </c>
      <c r="Q87" s="97">
        <f>436.23489-436.23432</f>
        <v>5.6999999998197382E-4</v>
      </c>
      <c r="R87" s="97">
        <f>436.23459-436.23432</f>
        <v>2.7000000000043656E-4</v>
      </c>
      <c r="S87" s="97">
        <f>436.23441-436.23432</f>
        <v>9.0000000000145519E-5</v>
      </c>
      <c r="T87" s="97">
        <f>436.23431-436.23432</f>
        <v>-1.0000000031595846E-5</v>
      </c>
      <c r="U87" s="97">
        <f>436.23419-436.23432</f>
        <v>-1.3000000001284207E-4</v>
      </c>
      <c r="V87" s="97">
        <f>436.23401-436.23432</f>
        <v>-3.100000000131331E-4</v>
      </c>
      <c r="W87" s="101" t="s">
        <v>3</v>
      </c>
      <c r="X87" s="101">
        <f>436.23431-436.23432</f>
        <v>-1.0000000031595846E-5</v>
      </c>
      <c r="Y87" s="101" t="s">
        <v>3</v>
      </c>
      <c r="Z87" s="98">
        <f>436.23599-436.23432</f>
        <v>1.6699999999900683E-3</v>
      </c>
      <c r="AA87" s="99">
        <f>436.23431-436.23432</f>
        <v>-1.0000000031595846E-5</v>
      </c>
      <c r="AB87" s="99">
        <f>436.23419-436.23432</f>
        <v>-1.3000000001284207E-4</v>
      </c>
      <c r="AC87" s="100">
        <f>436.23419-436.23432</f>
        <v>-1.3000000001284207E-4</v>
      </c>
      <c r="AD87" s="100" t="s">
        <v>3</v>
      </c>
      <c r="AE87" s="104">
        <f>436.23493-E87</f>
        <v>6.1400000004141475E-4</v>
      </c>
      <c r="AF87" s="104">
        <f>436.23451-E87</f>
        <v>1.9400000002178786E-4</v>
      </c>
      <c r="AG87" s="104" t="s">
        <v>3</v>
      </c>
      <c r="AH87" s="104" t="s">
        <v>3</v>
      </c>
      <c r="AI87" s="105" t="s">
        <v>3</v>
      </c>
      <c r="AJ87" s="105">
        <v>6.3999999999999997E-5</v>
      </c>
      <c r="AK87" s="105">
        <v>9.8200000000000002E-4</v>
      </c>
      <c r="AL87" s="105">
        <v>1.25E-4</v>
      </c>
      <c r="AM87" s="105" t="s">
        <v>3</v>
      </c>
      <c r="AN87" s="111">
        <f>436.233621393104-E87</f>
        <v>-6.9460689599054604E-4</v>
      </c>
      <c r="AO87" s="111" t="s">
        <v>3</v>
      </c>
      <c r="AP87" s="111" t="s">
        <v>3</v>
      </c>
      <c r="AQ87" s="111" t="s">
        <v>3</v>
      </c>
      <c r="AR87" s="111">
        <f>436.234430783366-E87</f>
        <v>1.1478336602976924E-4</v>
      </c>
      <c r="AS87" s="107" t="s">
        <v>3</v>
      </c>
      <c r="AT87" s="107">
        <f>436.23419-436.23432</f>
        <v>-1.3000000001284207E-4</v>
      </c>
      <c r="AU87" s="107" t="s">
        <v>3</v>
      </c>
      <c r="AV87" s="107" t="s">
        <v>3</v>
      </c>
      <c r="AW87" s="108">
        <v>-5.0799999996797851E-4</v>
      </c>
      <c r="AX87" s="108" t="s">
        <v>3</v>
      </c>
      <c r="AY87" s="109">
        <v>-2.2599999999783904E-4</v>
      </c>
      <c r="AZ87" s="109">
        <v>3.8880000000176551E-3</v>
      </c>
      <c r="BA87" s="123">
        <v>8.2400000002280649E-4</v>
      </c>
    </row>
    <row r="88" spans="1:53" x14ac:dyDescent="0.25">
      <c r="A88" s="38">
        <v>85</v>
      </c>
      <c r="B88" s="139" t="s">
        <v>55</v>
      </c>
      <c r="C88" s="38" t="s">
        <v>139</v>
      </c>
      <c r="D88" s="38" t="s">
        <v>210</v>
      </c>
      <c r="E88" s="48">
        <v>434.219763</v>
      </c>
      <c r="F88" s="102" t="s">
        <v>564</v>
      </c>
      <c r="G88" s="102" t="s">
        <v>564</v>
      </c>
      <c r="H88" s="102" t="s">
        <v>564</v>
      </c>
      <c r="I88" s="103" t="s">
        <v>3</v>
      </c>
      <c r="J88" s="103" t="s">
        <v>3</v>
      </c>
      <c r="K88" s="116">
        <v>1.6799999999999999E-4</v>
      </c>
      <c r="L88" s="97" t="s">
        <v>3</v>
      </c>
      <c r="M88" s="97">
        <f>434.21811-434.2198</f>
        <v>-1.6899999999964166E-3</v>
      </c>
      <c r="N88" s="97">
        <f>434.2186-434.2198</f>
        <v>-1.2000000000398359E-3</v>
      </c>
      <c r="O88" s="97">
        <f>434.21851-434.2198</f>
        <v>-1.2900000000399814E-3</v>
      </c>
      <c r="P88" s="97">
        <f>434.21851-434.2198</f>
        <v>-1.2900000000399814E-3</v>
      </c>
      <c r="Q88" s="97">
        <f>434.2186-434.2198</f>
        <v>-1.2000000000398359E-3</v>
      </c>
      <c r="R88" s="97">
        <f>434.21829-434.2198</f>
        <v>-1.5099999999961256E-3</v>
      </c>
      <c r="S88" s="97">
        <f>434.21841-434.2198</f>
        <v>-1.3900000000148793E-3</v>
      </c>
      <c r="T88" s="97">
        <f>434.21851-434.2198</f>
        <v>-1.2900000000399814E-3</v>
      </c>
      <c r="U88" s="97">
        <f>434.21841-434.2198</f>
        <v>-1.3900000000148793E-3</v>
      </c>
      <c r="V88" s="97">
        <f>434.22461-434.2198</f>
        <v>4.8099999999635656E-3</v>
      </c>
      <c r="W88" s="101" t="s">
        <v>564</v>
      </c>
      <c r="X88" s="101" t="s">
        <v>564</v>
      </c>
      <c r="Y88" s="101" t="s">
        <v>564</v>
      </c>
      <c r="Z88" s="98">
        <f>434.2186-434.2198</f>
        <v>-1.2000000000398359E-3</v>
      </c>
      <c r="AA88" s="99" t="s">
        <v>3</v>
      </c>
      <c r="AB88" s="99" t="s">
        <v>3</v>
      </c>
      <c r="AC88" s="100">
        <f>434.21979-434.2198</f>
        <v>-1.0000000031595846E-5</v>
      </c>
      <c r="AD88" s="100" t="s">
        <v>3</v>
      </c>
      <c r="AE88" s="104" t="s">
        <v>3</v>
      </c>
      <c r="AF88" s="104" t="s">
        <v>3</v>
      </c>
      <c r="AG88" s="104" t="s">
        <v>3</v>
      </c>
      <c r="AH88" s="104" t="s">
        <v>3</v>
      </c>
      <c r="AI88" s="105">
        <v>-3.0899999999999998E-4</v>
      </c>
      <c r="AJ88" s="105" t="s">
        <v>564</v>
      </c>
      <c r="AK88" s="105">
        <v>-2.0460000000000001E-3</v>
      </c>
      <c r="AL88" s="105">
        <v>-6.5300000000000004E-4</v>
      </c>
      <c r="AM88" s="105" t="s">
        <v>564</v>
      </c>
      <c r="AN88" s="106" t="s">
        <v>564</v>
      </c>
      <c r="AO88" s="106" t="s">
        <v>564</v>
      </c>
      <c r="AP88" s="106" t="s">
        <v>564</v>
      </c>
      <c r="AQ88" s="106" t="s">
        <v>564</v>
      </c>
      <c r="AR88" s="106" t="s">
        <v>564</v>
      </c>
      <c r="AS88" s="107" t="s">
        <v>3</v>
      </c>
      <c r="AT88" s="107">
        <f>434.22339-E88</f>
        <v>3.6269999999944957E-3</v>
      </c>
      <c r="AU88" s="107" t="s">
        <v>3</v>
      </c>
      <c r="AV88" s="107" t="s">
        <v>3</v>
      </c>
      <c r="AW88" s="108" t="s">
        <v>3</v>
      </c>
      <c r="AX88" s="108" t="s">
        <v>3</v>
      </c>
      <c r="AY88" s="109" t="s">
        <v>3</v>
      </c>
      <c r="AZ88" s="109" t="s">
        <v>3</v>
      </c>
      <c r="BA88" s="123">
        <v>-2.4500000000671207E-4</v>
      </c>
    </row>
    <row r="89" spans="1:53" x14ac:dyDescent="0.25">
      <c r="A89" s="38">
        <v>86</v>
      </c>
      <c r="B89" s="139" t="s">
        <v>96</v>
      </c>
      <c r="C89" s="38" t="s">
        <v>138</v>
      </c>
      <c r="D89" s="38" t="s">
        <v>211</v>
      </c>
      <c r="E89" s="48">
        <v>267.08765199999999</v>
      </c>
      <c r="F89" s="102">
        <v>7.7300000000000003E-4</v>
      </c>
      <c r="G89" s="102">
        <v>-1.077E-3</v>
      </c>
      <c r="H89" s="102" t="s">
        <v>3</v>
      </c>
      <c r="I89" s="103" t="s">
        <v>3</v>
      </c>
      <c r="J89" s="103" t="s">
        <v>3</v>
      </c>
      <c r="K89" s="116" t="s">
        <v>3</v>
      </c>
      <c r="L89" s="97" t="s">
        <v>3</v>
      </c>
      <c r="M89" s="97">
        <f>267.0878-267.08765</f>
        <v>1.5000000001919034E-4</v>
      </c>
      <c r="N89" s="97">
        <f>267.0878-267.08765</f>
        <v>1.5000000001919034E-4</v>
      </c>
      <c r="O89" s="97">
        <f>267.0878-267.08765</f>
        <v>1.5000000001919034E-4</v>
      </c>
      <c r="P89" s="97">
        <f>267.08801-267.08765</f>
        <v>3.6000000000058208E-4</v>
      </c>
      <c r="Q89" s="97">
        <f>267.08801-267.08765</f>
        <v>3.6000000000058208E-4</v>
      </c>
      <c r="R89" s="97">
        <f>267.0881-267.08765</f>
        <v>4.500000000007276E-4</v>
      </c>
      <c r="S89" s="97">
        <f>267.08801-267.08765</f>
        <v>3.6000000000058208E-4</v>
      </c>
      <c r="T89" s="97">
        <f>267.08789-267.08765</f>
        <v>2.4000000001933586E-4</v>
      </c>
      <c r="U89" s="97">
        <f>267.0878-267.08765</f>
        <v>1.5000000001919034E-4</v>
      </c>
      <c r="V89" s="97">
        <f>267.0881-267.08765</f>
        <v>4.500000000007276E-4</v>
      </c>
      <c r="W89" s="101" t="s">
        <v>3</v>
      </c>
      <c r="X89" s="101" t="s">
        <v>3</v>
      </c>
      <c r="Y89" s="101" t="s">
        <v>3</v>
      </c>
      <c r="Z89" s="98">
        <f>267.08859-267.08765</f>
        <v>9.4000000001415174E-4</v>
      </c>
      <c r="AA89" s="99">
        <f>267.0878-267.08765</f>
        <v>1.5000000001919034E-4</v>
      </c>
      <c r="AB89" s="99">
        <f>267.08759-267.08765</f>
        <v>-6.0000000019044819E-5</v>
      </c>
      <c r="AC89" s="100">
        <f>267.08749-267.08765</f>
        <v>-1.5999999999394277E-4</v>
      </c>
      <c r="AD89" s="100">
        <f>267.08621-267.08765</f>
        <v>-1.4400000000023283E-3</v>
      </c>
      <c r="AE89" s="104" t="s">
        <v>3</v>
      </c>
      <c r="AF89" s="104">
        <f>267.0879-E89</f>
        <v>2.479999999991378E-4</v>
      </c>
      <c r="AG89" s="104" t="s">
        <v>3</v>
      </c>
      <c r="AH89" s="104">
        <f>267.08755-E89</f>
        <v>-1.0199999996984843E-4</v>
      </c>
      <c r="AI89" s="105">
        <v>9.2900000000000003E-4</v>
      </c>
      <c r="AJ89" s="105">
        <v>-1.16E-3</v>
      </c>
      <c r="AK89" s="105">
        <v>7.1900000000000002E-4</v>
      </c>
      <c r="AL89" s="105">
        <v>-3.4200000000000002E-4</v>
      </c>
      <c r="AM89" s="105" t="s">
        <v>3</v>
      </c>
      <c r="AN89" s="106" t="s">
        <v>3</v>
      </c>
      <c r="AO89" s="106" t="s">
        <v>3</v>
      </c>
      <c r="AP89" s="106" t="s">
        <v>3</v>
      </c>
      <c r="AQ89" s="106" t="s">
        <v>3</v>
      </c>
      <c r="AR89" s="106" t="s">
        <v>3</v>
      </c>
      <c r="AS89" s="107">
        <f>267.08899-E89</f>
        <v>1.3380000000324799E-3</v>
      </c>
      <c r="AT89" s="107">
        <f>267.0864-267.08765</f>
        <v>-1.2499999999704414E-3</v>
      </c>
      <c r="AU89" s="107" t="s">
        <v>3</v>
      </c>
      <c r="AV89" s="107">
        <f>267.08771-E89</f>
        <v>5.8000000024094334E-5</v>
      </c>
      <c r="AW89" s="108" t="s">
        <v>3</v>
      </c>
      <c r="AX89" s="108" t="s">
        <v>3</v>
      </c>
      <c r="AY89" s="109" t="s">
        <v>3</v>
      </c>
      <c r="AZ89" s="109" t="s">
        <v>3</v>
      </c>
      <c r="BA89" s="123" t="s">
        <v>3</v>
      </c>
    </row>
    <row r="90" spans="1:53" x14ac:dyDescent="0.25">
      <c r="A90" s="38">
        <v>87</v>
      </c>
      <c r="B90" s="139" t="s">
        <v>98</v>
      </c>
      <c r="C90" s="38" t="s">
        <v>138</v>
      </c>
      <c r="D90" s="38" t="s">
        <v>212</v>
      </c>
      <c r="E90" s="48">
        <v>172.133205</v>
      </c>
      <c r="F90" s="102">
        <v>-6.7500000000000004E-4</v>
      </c>
      <c r="G90" s="102">
        <v>-2.9399999999999999E-4</v>
      </c>
      <c r="H90" s="102" t="s">
        <v>3</v>
      </c>
      <c r="I90" s="103" t="s">
        <v>3</v>
      </c>
      <c r="J90" s="103" t="s">
        <v>3</v>
      </c>
      <c r="K90" s="116" t="s">
        <v>3</v>
      </c>
      <c r="L90" s="97" t="s">
        <v>3</v>
      </c>
      <c r="M90" s="97">
        <f>172.1329-172.13321</f>
        <v>-3.0999999998471139E-4</v>
      </c>
      <c r="N90" s="97">
        <f>172.1331-172.13321</f>
        <v>-1.0999999997807208E-4</v>
      </c>
      <c r="O90" s="97">
        <f>172.1331-172.13321</f>
        <v>-1.0999999997807208E-4</v>
      </c>
      <c r="P90" s="97">
        <f>172.1331-172.13321</f>
        <v>-1.0999999997807208E-4</v>
      </c>
      <c r="Q90" s="97">
        <f>172.133-172.13321</f>
        <v>-2.0999999998139174E-4</v>
      </c>
      <c r="R90" s="97">
        <f>172.133-172.13321</f>
        <v>-2.0999999998139174E-4</v>
      </c>
      <c r="S90" s="97">
        <f>172.1331-172.13321</f>
        <v>-1.0999999997807208E-4</v>
      </c>
      <c r="T90" s="97">
        <f>172.1331-172.13321</f>
        <v>-1.0999999997807208E-4</v>
      </c>
      <c r="U90" s="97">
        <f>172.1331-172.13321</f>
        <v>-1.0999999997807208E-4</v>
      </c>
      <c r="V90" s="97">
        <f>172.13319-172.13321</f>
        <v>-1.9999999977926564E-5</v>
      </c>
      <c r="W90" s="101">
        <f>172.13319-172.13321</f>
        <v>-1.9999999977926564E-5</v>
      </c>
      <c r="X90" s="101">
        <f>172.13319-172.13321</f>
        <v>-1.9999999977926564E-5</v>
      </c>
      <c r="Y90" s="101" t="s">
        <v>3</v>
      </c>
      <c r="Z90" s="98">
        <f>172.1335-172.13321</f>
        <v>2.9000000000678483E-4</v>
      </c>
      <c r="AA90" s="99">
        <f>172.1333-172.13321</f>
        <v>9.0000000000145519E-5</v>
      </c>
      <c r="AB90" s="99" t="s">
        <v>3</v>
      </c>
      <c r="AC90" s="100">
        <f>172.1331-172.13321</f>
        <v>-1.0999999997807208E-4</v>
      </c>
      <c r="AD90" s="100" t="s">
        <v>3</v>
      </c>
      <c r="AE90" s="104">
        <f>172.13352-E90</f>
        <v>3.1500000000050932E-4</v>
      </c>
      <c r="AF90" s="104">
        <f>172.13296-E90</f>
        <v>-2.4500000000671207E-4</v>
      </c>
      <c r="AG90" s="104" t="s">
        <v>3</v>
      </c>
      <c r="AH90" s="104" t="s">
        <v>3</v>
      </c>
      <c r="AI90" s="105">
        <v>4.6200000000000001E-4</v>
      </c>
      <c r="AJ90" s="105">
        <v>6.3400000000000001E-4</v>
      </c>
      <c r="AK90" s="105">
        <v>4.9600000000000002E-4</v>
      </c>
      <c r="AL90" s="105">
        <v>1.07E-4</v>
      </c>
      <c r="AM90" s="105" t="s">
        <v>3</v>
      </c>
      <c r="AN90" s="106" t="s">
        <v>3</v>
      </c>
      <c r="AO90" s="106" t="s">
        <v>3</v>
      </c>
      <c r="AP90" s="106" t="s">
        <v>3</v>
      </c>
      <c r="AQ90" s="106" t="s">
        <v>3</v>
      </c>
      <c r="AR90" s="106" t="s">
        <v>3</v>
      </c>
      <c r="AS90" s="107">
        <f>172.133-E90</f>
        <v>-2.0499999999401552E-4</v>
      </c>
      <c r="AT90" s="107">
        <f>172.13341-E90</f>
        <v>2.0499999999401552E-4</v>
      </c>
      <c r="AU90" s="107">
        <f>172.1306-E90</f>
        <v>-2.6050000000168438E-3</v>
      </c>
      <c r="AV90" s="107">
        <f>172.1324-E90</f>
        <v>-8.0500000001393346E-4</v>
      </c>
      <c r="AW90" s="108" t="s">
        <v>3</v>
      </c>
      <c r="AX90" s="108">
        <v>7.5000000009595169E-5</v>
      </c>
      <c r="AY90" s="109" t="s">
        <v>3</v>
      </c>
      <c r="AZ90" s="109" t="s">
        <v>3</v>
      </c>
      <c r="BA90" s="123" t="s">
        <v>3</v>
      </c>
    </row>
    <row r="91" spans="1:53" x14ac:dyDescent="0.25">
      <c r="A91" s="38">
        <v>88</v>
      </c>
      <c r="B91" s="139" t="s">
        <v>100</v>
      </c>
      <c r="C91" s="38" t="s">
        <v>138</v>
      </c>
      <c r="D91" s="38" t="s">
        <v>213</v>
      </c>
      <c r="E91" s="48">
        <v>154.12264099999999</v>
      </c>
      <c r="F91" s="102">
        <v>-2.9999999999999997E-4</v>
      </c>
      <c r="G91" s="102">
        <v>2.5999999999999998E-5</v>
      </c>
      <c r="H91" s="102" t="s">
        <v>3</v>
      </c>
      <c r="I91" s="103" t="s">
        <v>3</v>
      </c>
      <c r="J91" s="103">
        <f>0.23*10^-3</f>
        <v>2.3000000000000001E-4</v>
      </c>
      <c r="K91" s="116">
        <f>154.1223-154.1226</f>
        <v>-3.0000000000995897E-4</v>
      </c>
      <c r="L91" s="97" t="s">
        <v>3</v>
      </c>
      <c r="M91" s="97">
        <f>154.1226-154.12264</f>
        <v>-3.9999999984274837E-5</v>
      </c>
      <c r="N91" s="97">
        <f>154.1225-154.12264</f>
        <v>-1.3999999998759449E-4</v>
      </c>
      <c r="O91" s="97">
        <f>154.1225-154.12264</f>
        <v>-1.3999999998759449E-4</v>
      </c>
      <c r="P91" s="97">
        <f>154.1226-154.12264</f>
        <v>-3.9999999984274837E-5</v>
      </c>
      <c r="Q91" s="97">
        <f>154.1225-154.12264</f>
        <v>-1.3999999998759449E-4</v>
      </c>
      <c r="R91" s="97">
        <f>154.1226-154.12264</f>
        <v>-3.9999999984274837E-5</v>
      </c>
      <c r="S91" s="97">
        <f>154.1225-154.12264</f>
        <v>-1.3999999998759449E-4</v>
      </c>
      <c r="T91" s="97">
        <f>154.1227-154.12264</f>
        <v>6.0000000019044819E-5</v>
      </c>
      <c r="U91" s="97">
        <f>154.1225-154.12264</f>
        <v>-1.3999999998759449E-4</v>
      </c>
      <c r="V91" s="97">
        <f>154.1226-154.12264</f>
        <v>-3.9999999984274837E-5</v>
      </c>
      <c r="W91" s="101">
        <f>154.1227-154.12264</f>
        <v>6.0000000019044819E-5</v>
      </c>
      <c r="X91" s="101">
        <f>154.1227-154.12264</f>
        <v>6.0000000019044819E-5</v>
      </c>
      <c r="Y91" s="101" t="s">
        <v>3</v>
      </c>
      <c r="Z91" s="98">
        <f>154.12309-154.12264</f>
        <v>4.500000000007276E-4</v>
      </c>
      <c r="AA91" s="99">
        <f>154.1227-154.12264</f>
        <v>6.0000000019044819E-5</v>
      </c>
      <c r="AB91" s="99" t="s">
        <v>3</v>
      </c>
      <c r="AC91" s="100">
        <f>154.1226-154.12264</f>
        <v>-3.9999999984274837E-5</v>
      </c>
      <c r="AD91" s="100" t="s">
        <v>3</v>
      </c>
      <c r="AE91" s="104">
        <f>154.12308-E91</f>
        <v>4.3900000000007822E-4</v>
      </c>
      <c r="AF91" s="104">
        <f>154.1227-E91</f>
        <v>5.9000000021569576E-5</v>
      </c>
      <c r="AG91" s="104">
        <f>154.12251-E91</f>
        <v>-1.309999999818956E-4</v>
      </c>
      <c r="AH91" s="104">
        <f>154.12235-E91</f>
        <v>-2.9099999997583836E-4</v>
      </c>
      <c r="AI91" s="105" t="s">
        <v>3</v>
      </c>
      <c r="AJ91" s="105">
        <v>4.57E-4</v>
      </c>
      <c r="AK91" s="105">
        <v>9.7099999999999997E-4</v>
      </c>
      <c r="AL91" s="105">
        <v>3.0800000000000001E-4</v>
      </c>
      <c r="AM91" s="105" t="s">
        <v>3</v>
      </c>
      <c r="AN91" s="106" t="s">
        <v>3</v>
      </c>
      <c r="AO91" s="106" t="s">
        <v>3</v>
      </c>
      <c r="AP91" s="106" t="s">
        <v>3</v>
      </c>
      <c r="AQ91" s="106" t="s">
        <v>3</v>
      </c>
      <c r="AR91" s="106" t="s">
        <v>3</v>
      </c>
      <c r="AS91" s="107">
        <f>154.12151-E91</f>
        <v>-1.1309999999866704E-3</v>
      </c>
      <c r="AT91" s="107">
        <f>154.121-E91</f>
        <v>-1.6409999999780212E-3</v>
      </c>
      <c r="AU91" s="107">
        <f>154.1209-E91</f>
        <v>-1.7409999999813408E-3</v>
      </c>
      <c r="AV91" s="107">
        <f>154.12151-E91</f>
        <v>-1.1309999999866704E-3</v>
      </c>
      <c r="AW91" s="108" t="s">
        <v>3</v>
      </c>
      <c r="AX91" s="108" t="s">
        <v>3</v>
      </c>
      <c r="AY91" s="109" t="s">
        <v>3</v>
      </c>
      <c r="AZ91" s="109">
        <v>-6.999999982326699E-6</v>
      </c>
      <c r="BA91" s="123">
        <v>8.9000000002670276E-5</v>
      </c>
    </row>
    <row r="92" spans="1:53" x14ac:dyDescent="0.25">
      <c r="A92" s="38">
        <v>89</v>
      </c>
      <c r="B92" s="139" t="s">
        <v>101</v>
      </c>
      <c r="C92" s="38" t="s">
        <v>138</v>
      </c>
      <c r="D92" s="38" t="s">
        <v>214</v>
      </c>
      <c r="E92" s="48">
        <v>273.18490600000001</v>
      </c>
      <c r="F92" s="102">
        <v>2.6099999999999999E-3</v>
      </c>
      <c r="G92" s="102">
        <v>0</v>
      </c>
      <c r="H92" s="102">
        <f>(273.18521-E92)</f>
        <v>3.0399999997143823E-4</v>
      </c>
      <c r="I92" s="103" t="s">
        <v>3</v>
      </c>
      <c r="J92" s="103" t="s">
        <v>3</v>
      </c>
      <c r="K92" s="116" t="s">
        <v>3</v>
      </c>
      <c r="L92" s="97" t="s">
        <v>3</v>
      </c>
      <c r="M92" s="97">
        <f>273.18509-273.18491</f>
        <v>1.8000000000029104E-4</v>
      </c>
      <c r="N92" s="97">
        <f>273.185-273.18491</f>
        <v>9.0000000000145519E-5</v>
      </c>
      <c r="O92" s="97">
        <f>273.185-273.18491</f>
        <v>9.0000000000145519E-5</v>
      </c>
      <c r="P92" s="97">
        <f>273.18491-273.18491</f>
        <v>0</v>
      </c>
      <c r="Q92" s="97">
        <f>273.1853-273.18491</f>
        <v>3.8999999998168278E-4</v>
      </c>
      <c r="R92" s="97">
        <f>273.1853-273.18491</f>
        <v>3.8999999998168278E-4</v>
      </c>
      <c r="S92" s="97">
        <f>273.18509-273.18491</f>
        <v>1.8000000000029104E-4</v>
      </c>
      <c r="T92" s="97">
        <f>273.18521-273.18491</f>
        <v>2.9999999998153726E-4</v>
      </c>
      <c r="U92" s="97">
        <f>273.18509-273.18491</f>
        <v>1.8000000000029104E-4</v>
      </c>
      <c r="V92" s="97">
        <f>273.18509-273.18491</f>
        <v>1.8000000000029104E-4</v>
      </c>
      <c r="W92" s="101">
        <f>273.18509-273.18491</f>
        <v>1.8000000000029104E-4</v>
      </c>
      <c r="X92" s="101">
        <f>273.18491-273.18491</f>
        <v>0</v>
      </c>
      <c r="Y92" s="101" t="s">
        <v>3</v>
      </c>
      <c r="Z92" s="98" t="s">
        <v>3</v>
      </c>
      <c r="AA92" s="99" t="s">
        <v>3</v>
      </c>
      <c r="AB92" s="99" t="s">
        <v>3</v>
      </c>
      <c r="AC92" s="100">
        <f>273.18469-273.18491</f>
        <v>-2.2000000001298758E-4</v>
      </c>
      <c r="AD92" s="100" t="s">
        <v>3</v>
      </c>
      <c r="AE92" s="104">
        <f>273.18437-E92</f>
        <v>-5.3600000001097214E-4</v>
      </c>
      <c r="AF92" s="104">
        <f>273.18562-E92</f>
        <v>7.1399999995946928E-4</v>
      </c>
      <c r="AG92" s="104">
        <f>273.1847-E92</f>
        <v>-2.0599999999149077E-4</v>
      </c>
      <c r="AH92" s="104">
        <f>273.18433-E92</f>
        <v>-5.7600000002366869E-4</v>
      </c>
      <c r="AI92" s="105">
        <v>-4.7800000000000002E-4</v>
      </c>
      <c r="AJ92" s="105">
        <v>6.8099999999999996E-4</v>
      </c>
      <c r="AK92" s="105">
        <v>1.0460000000000001E-3</v>
      </c>
      <c r="AL92" s="105">
        <v>7.8299999999999995E-4</v>
      </c>
      <c r="AM92" s="105">
        <v>2.63E-4</v>
      </c>
      <c r="AN92" s="106" t="s">
        <v>3</v>
      </c>
      <c r="AO92" s="106" t="s">
        <v>3</v>
      </c>
      <c r="AP92" s="106" t="s">
        <v>3</v>
      </c>
      <c r="AQ92" s="106" t="s">
        <v>3</v>
      </c>
      <c r="AR92" s="106" t="s">
        <v>3</v>
      </c>
      <c r="AS92" s="107" t="s">
        <v>3</v>
      </c>
      <c r="AT92" s="107">
        <f>273.18661-E92</f>
        <v>1.70399999996107E-3</v>
      </c>
      <c r="AU92" s="107">
        <f>273.18579-E92</f>
        <v>8.8399999998500789E-4</v>
      </c>
      <c r="AV92" s="107">
        <f>273.18341-E92</f>
        <v>-1.4960000000314722E-3</v>
      </c>
      <c r="AW92" s="108" t="s">
        <v>3</v>
      </c>
      <c r="AX92" s="108" t="s">
        <v>3</v>
      </c>
      <c r="AY92" s="109">
        <v>-1.2300000003051537E-4</v>
      </c>
      <c r="AZ92" s="109">
        <v>2.0799999999780994E-3</v>
      </c>
      <c r="BA92" s="123">
        <v>1.1639999999601969E-3</v>
      </c>
    </row>
    <row r="93" spans="1:53" x14ac:dyDescent="0.25">
      <c r="A93" s="38">
        <v>90</v>
      </c>
      <c r="B93" s="139" t="s">
        <v>102</v>
      </c>
      <c r="C93" s="38" t="s">
        <v>138</v>
      </c>
      <c r="D93" s="38" t="s">
        <v>215</v>
      </c>
      <c r="E93" s="48">
        <v>103.061437</v>
      </c>
      <c r="F93" s="102" t="s">
        <v>3</v>
      </c>
      <c r="G93" s="102" t="s">
        <v>3</v>
      </c>
      <c r="H93" s="102" t="s">
        <v>3</v>
      </c>
      <c r="I93" s="103" t="s">
        <v>3</v>
      </c>
      <c r="J93" s="103" t="s">
        <v>3</v>
      </c>
      <c r="K93" s="116" t="s">
        <v>3</v>
      </c>
      <c r="L93" s="97" t="s">
        <v>3</v>
      </c>
      <c r="M93" s="97" t="s">
        <v>3</v>
      </c>
      <c r="N93" s="97" t="s">
        <v>3</v>
      </c>
      <c r="O93" s="97" t="s">
        <v>3</v>
      </c>
      <c r="P93" s="97" t="s">
        <v>3</v>
      </c>
      <c r="Q93" s="97" t="s">
        <v>3</v>
      </c>
      <c r="R93" s="97" t="s">
        <v>3</v>
      </c>
      <c r="S93" s="97" t="s">
        <v>3</v>
      </c>
      <c r="T93" s="97" t="s">
        <v>3</v>
      </c>
      <c r="U93" s="97" t="s">
        <v>3</v>
      </c>
      <c r="V93" s="97" t="s">
        <v>3</v>
      </c>
      <c r="W93" s="101" t="s">
        <v>3</v>
      </c>
      <c r="X93" s="101" t="s">
        <v>3</v>
      </c>
      <c r="Y93" s="101" t="s">
        <v>3</v>
      </c>
      <c r="Z93" s="98" t="s">
        <v>3</v>
      </c>
      <c r="AA93" s="99">
        <f>103.0617-103.0614</f>
        <v>2.9999999999574811E-4</v>
      </c>
      <c r="AB93" s="99" t="s">
        <v>3</v>
      </c>
      <c r="AC93" s="100" t="s">
        <v>3</v>
      </c>
      <c r="AD93" s="100" t="s">
        <v>3</v>
      </c>
      <c r="AE93" s="104">
        <f>103.06176-E93</f>
        <v>3.2300000000873297E-4</v>
      </c>
      <c r="AF93" s="104">
        <f>103.0619-E93</f>
        <v>4.6299999999632746E-4</v>
      </c>
      <c r="AG93" s="104" t="s">
        <v>3</v>
      </c>
      <c r="AH93" s="104" t="s">
        <v>3</v>
      </c>
      <c r="AI93" s="105" t="s">
        <v>3</v>
      </c>
      <c r="AJ93" s="105">
        <v>3.6999999999999999E-4</v>
      </c>
      <c r="AK93" s="105">
        <v>1.039E-3</v>
      </c>
      <c r="AL93" s="105" t="s">
        <v>3</v>
      </c>
      <c r="AM93" s="105" t="s">
        <v>3</v>
      </c>
      <c r="AN93" s="106" t="s">
        <v>3</v>
      </c>
      <c r="AO93" s="106" t="s">
        <v>3</v>
      </c>
      <c r="AP93" s="106" t="s">
        <v>3</v>
      </c>
      <c r="AQ93" s="106" t="s">
        <v>3</v>
      </c>
      <c r="AR93" s="106" t="s">
        <v>3</v>
      </c>
      <c r="AS93" s="107" t="s">
        <v>3</v>
      </c>
      <c r="AT93" s="107" t="s">
        <v>3</v>
      </c>
      <c r="AU93" s="107" t="s">
        <v>3</v>
      </c>
      <c r="AV93" s="107" t="s">
        <v>3</v>
      </c>
      <c r="AW93" s="108" t="s">
        <v>3</v>
      </c>
      <c r="AX93" s="108" t="s">
        <v>3</v>
      </c>
      <c r="AY93" s="109" t="s">
        <v>3</v>
      </c>
      <c r="AZ93" s="109" t="s">
        <v>3</v>
      </c>
      <c r="BA93" s="123" t="s">
        <v>3</v>
      </c>
    </row>
    <row r="94" spans="1:53" x14ac:dyDescent="0.25">
      <c r="A94" s="38">
        <v>91</v>
      </c>
      <c r="B94" s="139" t="s">
        <v>103</v>
      </c>
      <c r="C94" s="38" t="s">
        <v>138</v>
      </c>
      <c r="D94" s="38" t="s">
        <v>216</v>
      </c>
      <c r="E94" s="48">
        <v>447.25030099999998</v>
      </c>
      <c r="F94" s="102">
        <v>-1.6130000000000001E-3</v>
      </c>
      <c r="G94" s="102">
        <v>-1.6130000000000001E-3</v>
      </c>
      <c r="H94" s="102" t="s">
        <v>3</v>
      </c>
      <c r="I94" s="103" t="s">
        <v>3</v>
      </c>
      <c r="J94" s="103" t="s">
        <v>3</v>
      </c>
      <c r="K94" s="116">
        <f>447.2496-447.2503</f>
        <v>-6.9999999999481588E-4</v>
      </c>
      <c r="L94" s="97" t="s">
        <v>3</v>
      </c>
      <c r="M94" s="97">
        <f>447.25-447.2503</f>
        <v>-2.9999999998153726E-4</v>
      </c>
      <c r="N94" s="97">
        <f>447.24979-447.2503</f>
        <v>-5.09999999962929E-4</v>
      </c>
      <c r="O94" s="97">
        <f>447.24969-447.2503</f>
        <v>-6.0999999999467036E-4</v>
      </c>
      <c r="P94" s="97">
        <f>447.25031-447.2503</f>
        <v>1.0000000031595846E-5</v>
      </c>
      <c r="Q94" s="97">
        <f>447.25101-447.2503</f>
        <v>7.1000000002641173E-4</v>
      </c>
      <c r="R94" s="97" t="s">
        <v>3</v>
      </c>
      <c r="S94" s="97">
        <f>447.25009-447.2503</f>
        <v>-2.0999999998139174E-4</v>
      </c>
      <c r="T94" s="97">
        <f>447.25049-447.2503</f>
        <v>1.9000000003188688E-4</v>
      </c>
      <c r="U94" s="97">
        <f>447.2504-447.2503</f>
        <v>1.0000000003174137E-4</v>
      </c>
      <c r="V94" s="97" t="s">
        <v>3</v>
      </c>
      <c r="W94" s="101">
        <f>447.24969-447.2503</f>
        <v>-6.0999999999467036E-4</v>
      </c>
      <c r="X94" s="101">
        <f>447.25009-447.2503</f>
        <v>-2.0999999998139174E-4</v>
      </c>
      <c r="Y94" s="101" t="s">
        <v>3</v>
      </c>
      <c r="Z94" s="98">
        <f>447.2514-447.2503</f>
        <v>1.1000000000080945E-3</v>
      </c>
      <c r="AA94" s="99">
        <f>447.24991-447.2503</f>
        <v>-3.8999999998168278E-4</v>
      </c>
      <c r="AB94" s="99">
        <f>447.25031-447.2503</f>
        <v>1.0000000031595846E-5</v>
      </c>
      <c r="AC94" s="100">
        <f>447.24991-447.2503</f>
        <v>-3.8999999998168278E-4</v>
      </c>
      <c r="AD94" s="100">
        <f>447.24869-447.2503</f>
        <v>-1.6099999999710235E-3</v>
      </c>
      <c r="AE94" s="104">
        <f>447.25093-E94</f>
        <v>6.2900000000354339E-4</v>
      </c>
      <c r="AF94" s="104">
        <f>447.25136-E94</f>
        <v>1.0589999999979227E-3</v>
      </c>
      <c r="AG94" s="104">
        <f>447.25046-E94</f>
        <v>1.5899999999646752E-4</v>
      </c>
      <c r="AH94" s="104">
        <f>447.24972-E94</f>
        <v>-5.8099999995420148E-4</v>
      </c>
      <c r="AI94" s="105">
        <v>-7.5600000000000005E-4</v>
      </c>
      <c r="AJ94" s="105">
        <v>1.9659999999999999E-3</v>
      </c>
      <c r="AK94" s="105">
        <v>7.5299999999999998E-4</v>
      </c>
      <c r="AL94" s="105">
        <v>4.4200000000000001E-4</v>
      </c>
      <c r="AM94" s="105" t="s">
        <v>3</v>
      </c>
      <c r="AN94" s="106" t="s">
        <v>3</v>
      </c>
      <c r="AO94" s="106" t="s">
        <v>3</v>
      </c>
      <c r="AP94" s="106" t="s">
        <v>3</v>
      </c>
      <c r="AQ94" s="106" t="s">
        <v>3</v>
      </c>
      <c r="AR94" s="106" t="s">
        <v>3</v>
      </c>
      <c r="AS94" s="107">
        <f>447.2504-E94</f>
        <v>9.9000000034266122E-5</v>
      </c>
      <c r="AT94" s="107">
        <f>447.2511-E94</f>
        <v>7.99000000029082E-4</v>
      </c>
      <c r="AU94" s="107" t="s">
        <v>3</v>
      </c>
      <c r="AV94" s="107">
        <f>447.24841-E94</f>
        <v>-1.8910000000005311E-3</v>
      </c>
      <c r="AW94" s="108" t="s">
        <v>3</v>
      </c>
      <c r="AX94" s="108" t="s">
        <v>3</v>
      </c>
      <c r="AY94" s="109">
        <v>-1.9779999999514075E-3</v>
      </c>
      <c r="AZ94" s="109" t="s">
        <v>3</v>
      </c>
      <c r="BA94" s="123">
        <v>4.5090000000413966E-3</v>
      </c>
    </row>
    <row r="95" spans="1:53" x14ac:dyDescent="0.25">
      <c r="A95" s="38">
        <v>92</v>
      </c>
      <c r="B95" s="139" t="s">
        <v>106</v>
      </c>
      <c r="C95" s="38" t="s">
        <v>138</v>
      </c>
      <c r="D95" s="38" t="s">
        <v>217</v>
      </c>
      <c r="E95" s="48">
        <v>166.08625499999999</v>
      </c>
      <c r="F95" s="102" t="s">
        <v>3</v>
      </c>
      <c r="G95" s="102" t="s">
        <v>3</v>
      </c>
      <c r="H95" s="102" t="s">
        <v>3</v>
      </c>
      <c r="I95" s="103" t="s">
        <v>3</v>
      </c>
      <c r="J95" s="103" t="s">
        <v>3</v>
      </c>
      <c r="K95" s="116" t="s">
        <v>3</v>
      </c>
      <c r="L95" s="97">
        <f>166.0856-166.08625</f>
        <v>-6.5000000000736691E-4</v>
      </c>
      <c r="M95" s="97">
        <f>166.0853-166.08625</f>
        <v>-9.5000000001732587E-4</v>
      </c>
      <c r="N95" s="97">
        <f>166.08569-166.08625</f>
        <v>-5.6000000000722139E-4</v>
      </c>
      <c r="O95" s="97">
        <f>166.0858-166.08625</f>
        <v>-4.500000000007276E-4</v>
      </c>
      <c r="P95" s="97">
        <f>166.0858-166.08625</f>
        <v>-4.500000000007276E-4</v>
      </c>
      <c r="Q95" s="97">
        <f>166.086-166.08625</f>
        <v>-2.4999999999408828E-4</v>
      </c>
      <c r="R95" s="97">
        <f>166.0858-166.08625</f>
        <v>-4.500000000007276E-4</v>
      </c>
      <c r="S95" s="97">
        <f>166.0854-166.08625</f>
        <v>-8.5000000001400622E-4</v>
      </c>
      <c r="T95" s="97">
        <f>166.08569-166.08625</f>
        <v>-5.6000000000722139E-4</v>
      </c>
      <c r="U95" s="97">
        <f>166.08569-166.08625</f>
        <v>-5.6000000000722139E-4</v>
      </c>
      <c r="V95" s="97">
        <f>166.08591-166.08625</f>
        <v>-3.399999999942338E-4</v>
      </c>
      <c r="W95" s="101" t="s">
        <v>3</v>
      </c>
      <c r="X95" s="101" t="s">
        <v>3</v>
      </c>
      <c r="Y95" s="101" t="s">
        <v>3</v>
      </c>
      <c r="Z95" s="98" t="s">
        <v>3</v>
      </c>
      <c r="AA95" s="99" t="s">
        <v>3</v>
      </c>
      <c r="AB95" s="99" t="s">
        <v>3</v>
      </c>
      <c r="AC95" s="100" t="s">
        <v>3</v>
      </c>
      <c r="AD95" s="100" t="s">
        <v>3</v>
      </c>
      <c r="AE95" s="104">
        <f>166.08634-E95</f>
        <v>8.5000000012769306E-5</v>
      </c>
      <c r="AF95" s="104" t="s">
        <v>3</v>
      </c>
      <c r="AG95" s="104">
        <f>166.08562-E95</f>
        <v>-6.3499999998839485E-4</v>
      </c>
      <c r="AH95" s="104">
        <f>166.08546-E95</f>
        <v>-7.9499999998233761E-4</v>
      </c>
      <c r="AI95" s="105">
        <v>5.4199999999999995E-4</v>
      </c>
      <c r="AJ95" s="105">
        <f>166.086841441338-E95</f>
        <v>5.8644133801522003E-4</v>
      </c>
      <c r="AK95" s="105" t="s">
        <v>3</v>
      </c>
      <c r="AL95" s="105">
        <v>1.47E-3</v>
      </c>
      <c r="AM95" s="105" t="s">
        <v>3</v>
      </c>
      <c r="AN95" s="106" t="s">
        <v>3</v>
      </c>
      <c r="AO95" s="106" t="s">
        <v>3</v>
      </c>
      <c r="AP95" s="106" t="s">
        <v>3</v>
      </c>
      <c r="AQ95" s="106" t="s">
        <v>3</v>
      </c>
      <c r="AR95" s="106" t="s">
        <v>3</v>
      </c>
      <c r="AS95" s="107" t="s">
        <v>3</v>
      </c>
      <c r="AT95" s="107">
        <f>166.08549-E95</f>
        <v>-7.6500000000123691E-4</v>
      </c>
      <c r="AU95" s="107">
        <f>166.08591-E95</f>
        <v>-3.4499999998161002E-4</v>
      </c>
      <c r="AV95" s="107" t="s">
        <v>3</v>
      </c>
      <c r="AW95" s="108">
        <v>-1.3300000000526779E-4</v>
      </c>
      <c r="AX95" s="108" t="s">
        <v>3</v>
      </c>
      <c r="AY95" s="109">
        <v>-7.0999999991272489E-5</v>
      </c>
      <c r="AZ95" s="109" t="s">
        <v>3</v>
      </c>
      <c r="BA95" s="123" t="s">
        <v>3</v>
      </c>
    </row>
    <row r="96" spans="1:53" x14ac:dyDescent="0.25">
      <c r="A96" s="38">
        <v>93</v>
      </c>
      <c r="B96" s="139" t="s">
        <v>2</v>
      </c>
      <c r="C96" s="38" t="s">
        <v>138</v>
      </c>
      <c r="D96" s="38" t="s">
        <v>218</v>
      </c>
      <c r="E96" s="48">
        <v>246.92272199999999</v>
      </c>
      <c r="F96" s="102" t="s">
        <v>3</v>
      </c>
      <c r="G96" s="102" t="s">
        <v>3</v>
      </c>
      <c r="H96" s="102" t="s">
        <v>3</v>
      </c>
      <c r="I96" s="103" t="s">
        <v>3</v>
      </c>
      <c r="J96" s="103" t="s">
        <v>3</v>
      </c>
      <c r="K96" s="116" t="s">
        <v>3</v>
      </c>
      <c r="L96" s="97" t="s">
        <v>3</v>
      </c>
      <c r="M96" s="97" t="s">
        <v>3</v>
      </c>
      <c r="N96" s="97" t="s">
        <v>3</v>
      </c>
      <c r="O96" s="97" t="s">
        <v>3</v>
      </c>
      <c r="P96" s="97" t="s">
        <v>3</v>
      </c>
      <c r="Q96" s="97" t="s">
        <v>3</v>
      </c>
      <c r="R96" s="97" t="s">
        <v>3</v>
      </c>
      <c r="S96" s="97" t="s">
        <v>3</v>
      </c>
      <c r="T96" s="97" t="s">
        <v>3</v>
      </c>
      <c r="U96" s="97" t="s">
        <v>3</v>
      </c>
      <c r="V96" s="97" t="s">
        <v>3</v>
      </c>
      <c r="W96" s="101" t="s">
        <v>3</v>
      </c>
      <c r="X96" s="101" t="s">
        <v>3</v>
      </c>
      <c r="Y96" s="101" t="s">
        <v>3</v>
      </c>
      <c r="Z96" s="98" t="s">
        <v>3</v>
      </c>
      <c r="AA96" s="99" t="s">
        <v>3</v>
      </c>
      <c r="AB96" s="99" t="s">
        <v>3</v>
      </c>
      <c r="AC96" s="100" t="s">
        <v>3</v>
      </c>
      <c r="AD96" s="100" t="s">
        <v>3</v>
      </c>
      <c r="AE96" s="104" t="s">
        <v>3</v>
      </c>
      <c r="AF96" s="104" t="s">
        <v>3</v>
      </c>
      <c r="AG96" s="104" t="s">
        <v>3</v>
      </c>
      <c r="AH96" s="104" t="s">
        <v>3</v>
      </c>
      <c r="AI96" s="105">
        <v>3.6200000000000002E-4</v>
      </c>
      <c r="AJ96" s="105" t="s">
        <v>3</v>
      </c>
      <c r="AK96" s="105">
        <v>4.2050000000000004E-3</v>
      </c>
      <c r="AL96" s="105" t="s">
        <v>3</v>
      </c>
      <c r="AM96" s="105" t="s">
        <v>3</v>
      </c>
      <c r="AN96" s="106" t="s">
        <v>3</v>
      </c>
      <c r="AO96" s="106" t="s">
        <v>3</v>
      </c>
      <c r="AP96" s="106" t="s">
        <v>3</v>
      </c>
      <c r="AQ96" s="106" t="s">
        <v>3</v>
      </c>
      <c r="AR96" s="106" t="s">
        <v>3</v>
      </c>
      <c r="AS96" s="107" t="s">
        <v>3</v>
      </c>
      <c r="AT96" s="107" t="s">
        <v>3</v>
      </c>
      <c r="AU96" s="107" t="s">
        <v>3</v>
      </c>
      <c r="AV96" s="107" t="s">
        <v>3</v>
      </c>
      <c r="AW96" s="108" t="s">
        <v>3</v>
      </c>
      <c r="AX96" s="108" t="s">
        <v>3</v>
      </c>
      <c r="AY96" s="109" t="s">
        <v>3</v>
      </c>
      <c r="AZ96" s="109" t="s">
        <v>3</v>
      </c>
      <c r="BA96" s="123" t="s">
        <v>3</v>
      </c>
    </row>
    <row r="97" spans="1:53" x14ac:dyDescent="0.25">
      <c r="A97" s="38">
        <v>94</v>
      </c>
      <c r="B97" s="139" t="s">
        <v>2</v>
      </c>
      <c r="C97" s="38" t="s">
        <v>139</v>
      </c>
      <c r="D97" s="38" t="s">
        <v>218</v>
      </c>
      <c r="E97" s="48">
        <v>244.90816899999999</v>
      </c>
      <c r="F97" s="102" t="s">
        <v>564</v>
      </c>
      <c r="G97" s="102" t="s">
        <v>564</v>
      </c>
      <c r="H97" s="102" t="s">
        <v>564</v>
      </c>
      <c r="I97" s="103" t="s">
        <v>3</v>
      </c>
      <c r="J97" s="103" t="s">
        <v>3</v>
      </c>
      <c r="K97" s="116" t="s">
        <v>3</v>
      </c>
      <c r="L97" s="97" t="s">
        <v>3</v>
      </c>
      <c r="M97" s="97">
        <f>244.90759-244.90817</f>
        <v>-5.8000000001356966E-4</v>
      </c>
      <c r="N97" s="97">
        <f>244.9077-244.90817</f>
        <v>-4.7000000000707587E-4</v>
      </c>
      <c r="O97" s="97">
        <f>244.9077-244.90817</f>
        <v>-4.7000000000707587E-4</v>
      </c>
      <c r="P97" s="97">
        <f>244.90759-244.90817</f>
        <v>-5.8000000001356966E-4</v>
      </c>
      <c r="Q97" s="97">
        <f>244.9079-244.90817</f>
        <v>-2.7000000000043656E-4</v>
      </c>
      <c r="R97" s="97">
        <f>244.9077-244.90817</f>
        <v>-4.7000000000707587E-4</v>
      </c>
      <c r="S97" s="97">
        <f>244.9077-244.90817</f>
        <v>-4.7000000000707587E-4</v>
      </c>
      <c r="T97" s="97">
        <f>244.9079-244.90817</f>
        <v>-2.7000000000043656E-4</v>
      </c>
      <c r="U97" s="97">
        <f>244.90781-244.90817</f>
        <v>-3.6000000000058208E-4</v>
      </c>
      <c r="V97" s="97">
        <f>244.9075-244.90817</f>
        <v>-6.7000000001371518E-4</v>
      </c>
      <c r="W97" s="101" t="s">
        <v>564</v>
      </c>
      <c r="X97" s="101" t="s">
        <v>564</v>
      </c>
      <c r="Y97" s="101" t="s">
        <v>564</v>
      </c>
      <c r="Z97" s="98" t="s">
        <v>3</v>
      </c>
      <c r="AA97" s="99">
        <f>244.9081-244.90817</f>
        <v>-7.0000000022218956E-5</v>
      </c>
      <c r="AB97" s="99" t="s">
        <v>3</v>
      </c>
      <c r="AC97" s="100" t="s">
        <v>3</v>
      </c>
      <c r="AD97" s="100" t="s">
        <v>3</v>
      </c>
      <c r="AE97" s="104" t="s">
        <v>3</v>
      </c>
      <c r="AF97" s="104" t="s">
        <v>3</v>
      </c>
      <c r="AG97" s="104" t="s">
        <v>3</v>
      </c>
      <c r="AH97" s="104" t="s">
        <v>3</v>
      </c>
      <c r="AI97" s="105" t="s">
        <v>3</v>
      </c>
      <c r="AJ97" s="105" t="s">
        <v>564</v>
      </c>
      <c r="AK97" s="105" t="s">
        <v>3</v>
      </c>
      <c r="AL97" s="105" t="s">
        <v>3</v>
      </c>
      <c r="AM97" s="105" t="s">
        <v>564</v>
      </c>
      <c r="AN97" s="106" t="s">
        <v>564</v>
      </c>
      <c r="AO97" s="106" t="s">
        <v>564</v>
      </c>
      <c r="AP97" s="106" t="s">
        <v>564</v>
      </c>
      <c r="AQ97" s="106" t="s">
        <v>564</v>
      </c>
      <c r="AR97" s="106" t="s">
        <v>564</v>
      </c>
      <c r="AS97" s="107" t="s">
        <v>3</v>
      </c>
      <c r="AT97" s="107" t="s">
        <v>3</v>
      </c>
      <c r="AU97" s="107" t="s">
        <v>3</v>
      </c>
      <c r="AV97" s="107" t="s">
        <v>3</v>
      </c>
      <c r="AW97" s="108" t="s">
        <v>3</v>
      </c>
      <c r="AX97" s="108" t="s">
        <v>3</v>
      </c>
      <c r="AY97" s="109" t="s">
        <v>3</v>
      </c>
      <c r="AZ97" s="109" t="s">
        <v>3</v>
      </c>
      <c r="BA97" s="123">
        <v>-6.339999999909196E-4</v>
      </c>
    </row>
    <row r="98" spans="1:53" x14ac:dyDescent="0.25">
      <c r="A98" s="38">
        <v>95</v>
      </c>
      <c r="B98" s="139" t="s">
        <v>51</v>
      </c>
      <c r="C98" s="38" t="s">
        <v>139</v>
      </c>
      <c r="D98" s="38" t="s">
        <v>219</v>
      </c>
      <c r="E98" s="48">
        <v>498.93021800000002</v>
      </c>
      <c r="F98" s="102" t="s">
        <v>564</v>
      </c>
      <c r="G98" s="102" t="s">
        <v>564</v>
      </c>
      <c r="H98" s="102" t="s">
        <v>564</v>
      </c>
      <c r="I98" s="103" t="s">
        <v>3</v>
      </c>
      <c r="J98" s="103" t="s">
        <v>3</v>
      </c>
      <c r="K98" s="116" t="s">
        <v>3</v>
      </c>
      <c r="L98" s="97" t="s">
        <v>3</v>
      </c>
      <c r="M98" s="97">
        <f>498.92859-498.93022</f>
        <v>-1.6300000000342152E-3</v>
      </c>
      <c r="N98" s="97">
        <f>498.9288-498.93022</f>
        <v>-1.41999999999598E-3</v>
      </c>
      <c r="O98" s="97">
        <f>498.92841-498.93022</f>
        <v>-1.8100000000345062E-3</v>
      </c>
      <c r="P98" s="97">
        <f>498.92859-498.93022</f>
        <v>-1.6300000000342152E-3</v>
      </c>
      <c r="Q98" s="97">
        <f>498.9288-498.93022</f>
        <v>-1.41999999999598E-3</v>
      </c>
      <c r="R98" s="97">
        <f>498.92871-498.93022</f>
        <v>-1.5099999999961256E-3</v>
      </c>
      <c r="S98" s="97">
        <f>498.92789-498.93022</f>
        <v>-2.3300000000290311E-3</v>
      </c>
      <c r="T98" s="97">
        <f>498.9288-498.93022</f>
        <v>-1.41999999999598E-3</v>
      </c>
      <c r="U98" s="97">
        <f>498.92859-498.93022</f>
        <v>-1.6300000000342152E-3</v>
      </c>
      <c r="V98" s="97">
        <f>498.92859-498.93022</f>
        <v>-1.6300000000342152E-3</v>
      </c>
      <c r="W98" s="101" t="s">
        <v>564</v>
      </c>
      <c r="X98" s="101" t="s">
        <v>564</v>
      </c>
      <c r="Y98" s="101" t="s">
        <v>564</v>
      </c>
      <c r="Z98" s="98">
        <f>498.9288-498.93022</f>
        <v>-1.41999999999598E-3</v>
      </c>
      <c r="AA98" s="99">
        <f>498.93051-498.93022</f>
        <v>2.9000000000678483E-4</v>
      </c>
      <c r="AB98" s="99" t="s">
        <v>3</v>
      </c>
      <c r="AC98" s="100">
        <f>498.9306-498.93022</f>
        <v>3.8000000000693035E-4</v>
      </c>
      <c r="AD98" s="100" t="s">
        <v>3</v>
      </c>
      <c r="AE98" s="104">
        <f>498.93057-E98</f>
        <v>3.5199999996393672E-4</v>
      </c>
      <c r="AF98" s="104">
        <f>498.92936-E98</f>
        <v>-8.5800000005065158E-4</v>
      </c>
      <c r="AG98" s="104">
        <f>498.92975-E98</f>
        <v>-4.6800000001212538E-4</v>
      </c>
      <c r="AH98" s="104" t="s">
        <v>3</v>
      </c>
      <c r="AI98" s="105" t="s">
        <v>3</v>
      </c>
      <c r="AJ98" s="105" t="s">
        <v>564</v>
      </c>
      <c r="AK98" s="105" t="s">
        <v>3</v>
      </c>
      <c r="AL98" s="105" t="s">
        <v>3</v>
      </c>
      <c r="AM98" s="105" t="s">
        <v>564</v>
      </c>
      <c r="AN98" s="106" t="s">
        <v>564</v>
      </c>
      <c r="AO98" s="106" t="s">
        <v>564</v>
      </c>
      <c r="AP98" s="106" t="s">
        <v>564</v>
      </c>
      <c r="AQ98" s="106" t="s">
        <v>564</v>
      </c>
      <c r="AR98" s="106" t="s">
        <v>564</v>
      </c>
      <c r="AS98" s="107" t="s">
        <v>3</v>
      </c>
      <c r="AT98" s="107" t="s">
        <v>3</v>
      </c>
      <c r="AU98" s="107" t="s">
        <v>3</v>
      </c>
      <c r="AV98" s="107" t="s">
        <v>3</v>
      </c>
      <c r="AW98" s="108" t="s">
        <v>3</v>
      </c>
      <c r="AX98" s="108" t="s">
        <v>3</v>
      </c>
      <c r="AY98" s="109" t="s">
        <v>3</v>
      </c>
      <c r="AZ98" s="109" t="s">
        <v>3</v>
      </c>
      <c r="BA98" s="123">
        <v>-1.2020000000347864E-3</v>
      </c>
    </row>
    <row r="99" spans="1:53" x14ac:dyDescent="0.25">
      <c r="A99" s="38">
        <v>96</v>
      </c>
      <c r="B99" s="139" t="s">
        <v>23</v>
      </c>
      <c r="C99" s="38" t="s">
        <v>138</v>
      </c>
      <c r="D99" s="38" t="s">
        <v>220</v>
      </c>
      <c r="E99" s="48">
        <v>416.92160799999999</v>
      </c>
      <c r="F99" s="102" t="s">
        <v>3</v>
      </c>
      <c r="G99" s="102" t="s">
        <v>3</v>
      </c>
      <c r="H99" s="102" t="s">
        <v>3</v>
      </c>
      <c r="I99" s="103" t="s">
        <v>3</v>
      </c>
      <c r="J99" s="103" t="s">
        <v>3</v>
      </c>
      <c r="K99" s="116" t="s">
        <v>3</v>
      </c>
      <c r="L99" s="97" t="s">
        <v>3</v>
      </c>
      <c r="M99" s="97" t="s">
        <v>3</v>
      </c>
      <c r="N99" s="97" t="s">
        <v>3</v>
      </c>
      <c r="O99" s="97" t="s">
        <v>3</v>
      </c>
      <c r="P99" s="97" t="s">
        <v>3</v>
      </c>
      <c r="Q99" s="97" t="s">
        <v>3</v>
      </c>
      <c r="R99" s="97" t="s">
        <v>3</v>
      </c>
      <c r="S99" s="97" t="s">
        <v>3</v>
      </c>
      <c r="T99" s="97" t="s">
        <v>3</v>
      </c>
      <c r="U99" s="97" t="s">
        <v>3</v>
      </c>
      <c r="V99" s="97" t="s">
        <v>3</v>
      </c>
      <c r="W99" s="101" t="s">
        <v>3</v>
      </c>
      <c r="X99" s="101" t="s">
        <v>3</v>
      </c>
      <c r="Y99" s="101" t="s">
        <v>3</v>
      </c>
      <c r="Z99" s="98" t="s">
        <v>3</v>
      </c>
      <c r="AA99" s="99" t="s">
        <v>3</v>
      </c>
      <c r="AB99" s="99" t="s">
        <v>3</v>
      </c>
      <c r="AC99" s="100" t="s">
        <v>3</v>
      </c>
      <c r="AD99" s="100" t="s">
        <v>3</v>
      </c>
      <c r="AE99" s="104" t="s">
        <v>3</v>
      </c>
      <c r="AF99" s="104" t="s">
        <v>3</v>
      </c>
      <c r="AG99" s="104" t="s">
        <v>3</v>
      </c>
      <c r="AH99" s="104" t="s">
        <v>3</v>
      </c>
      <c r="AI99" s="105" t="s">
        <v>3</v>
      </c>
      <c r="AJ99" s="105" t="s">
        <v>3</v>
      </c>
      <c r="AK99" s="105" t="s">
        <v>3</v>
      </c>
      <c r="AL99" s="105" t="s">
        <v>3</v>
      </c>
      <c r="AM99" s="105" t="s">
        <v>3</v>
      </c>
      <c r="AN99" s="106" t="s">
        <v>3</v>
      </c>
      <c r="AO99" s="106" t="s">
        <v>3</v>
      </c>
      <c r="AP99" s="106" t="s">
        <v>3</v>
      </c>
      <c r="AQ99" s="106" t="s">
        <v>3</v>
      </c>
      <c r="AR99" s="106" t="s">
        <v>3</v>
      </c>
      <c r="AS99" s="107" t="s">
        <v>3</v>
      </c>
      <c r="AT99" s="107" t="s">
        <v>3</v>
      </c>
      <c r="AU99" s="107" t="s">
        <v>3</v>
      </c>
      <c r="AV99" s="107" t="s">
        <v>3</v>
      </c>
      <c r="AW99" s="108" t="s">
        <v>3</v>
      </c>
      <c r="AX99" s="108" t="s">
        <v>3</v>
      </c>
      <c r="AY99" s="109" t="s">
        <v>3</v>
      </c>
      <c r="AZ99" s="109" t="s">
        <v>3</v>
      </c>
      <c r="BA99" s="123" t="s">
        <v>3</v>
      </c>
    </row>
    <row r="100" spans="1:53" x14ac:dyDescent="0.25">
      <c r="A100" s="38">
        <v>97</v>
      </c>
      <c r="B100" s="139" t="s">
        <v>23</v>
      </c>
      <c r="C100" s="38" t="s">
        <v>139</v>
      </c>
      <c r="D100" s="38" t="s">
        <v>220</v>
      </c>
      <c r="E100" s="48">
        <v>414.90705500000001</v>
      </c>
      <c r="F100" s="102" t="s">
        <v>3</v>
      </c>
      <c r="G100" s="102" t="s">
        <v>3</v>
      </c>
      <c r="H100" s="102" t="s">
        <v>3</v>
      </c>
      <c r="I100" s="103" t="s">
        <v>3</v>
      </c>
      <c r="J100" s="103" t="s">
        <v>3</v>
      </c>
      <c r="K100" s="116" t="s">
        <v>3</v>
      </c>
      <c r="L100" s="97" t="s">
        <v>3</v>
      </c>
      <c r="M100" s="97" t="s">
        <v>3</v>
      </c>
      <c r="N100" s="97" t="s">
        <v>3</v>
      </c>
      <c r="O100" s="97" t="s">
        <v>3</v>
      </c>
      <c r="P100" s="97" t="s">
        <v>3</v>
      </c>
      <c r="Q100" s="97" t="s">
        <v>3</v>
      </c>
      <c r="R100" s="97" t="s">
        <v>3</v>
      </c>
      <c r="S100" s="97" t="s">
        <v>3</v>
      </c>
      <c r="T100" s="97" t="s">
        <v>3</v>
      </c>
      <c r="U100" s="97" t="s">
        <v>3</v>
      </c>
      <c r="V100" s="97" t="s">
        <v>3</v>
      </c>
      <c r="W100" s="101" t="s">
        <v>564</v>
      </c>
      <c r="X100" s="101" t="s">
        <v>564</v>
      </c>
      <c r="Y100" s="101" t="s">
        <v>564</v>
      </c>
      <c r="Z100" s="98" t="s">
        <v>3</v>
      </c>
      <c r="AA100" s="99" t="s">
        <v>3</v>
      </c>
      <c r="AB100" s="99" t="s">
        <v>3</v>
      </c>
      <c r="AC100" s="100" t="s">
        <v>3</v>
      </c>
      <c r="AD100" s="100" t="s">
        <v>3</v>
      </c>
      <c r="AE100" s="104" t="s">
        <v>3</v>
      </c>
      <c r="AF100" s="104" t="s">
        <v>3</v>
      </c>
      <c r="AG100" s="104" t="s">
        <v>3</v>
      </c>
      <c r="AH100" s="104" t="s">
        <v>3</v>
      </c>
      <c r="AI100" s="105" t="s">
        <v>3</v>
      </c>
      <c r="AJ100" s="105" t="s">
        <v>564</v>
      </c>
      <c r="AK100" s="105" t="s">
        <v>3</v>
      </c>
      <c r="AL100" s="105" t="s">
        <v>3</v>
      </c>
      <c r="AM100" s="105" t="s">
        <v>3</v>
      </c>
      <c r="AN100" s="106" t="s">
        <v>564</v>
      </c>
      <c r="AO100" s="106" t="s">
        <v>564</v>
      </c>
      <c r="AP100" s="106" t="s">
        <v>564</v>
      </c>
      <c r="AQ100" s="106" t="s">
        <v>564</v>
      </c>
      <c r="AR100" s="106" t="s">
        <v>564</v>
      </c>
      <c r="AS100" s="107" t="s">
        <v>3</v>
      </c>
      <c r="AT100" s="107" t="s">
        <v>3</v>
      </c>
      <c r="AU100" s="107" t="s">
        <v>3</v>
      </c>
      <c r="AV100" s="107" t="s">
        <v>3</v>
      </c>
      <c r="AW100" s="108" t="s">
        <v>3</v>
      </c>
      <c r="AX100" s="108" t="s">
        <v>3</v>
      </c>
      <c r="AY100" s="109" t="s">
        <v>3</v>
      </c>
      <c r="AZ100" s="109" t="s">
        <v>3</v>
      </c>
      <c r="BA100" s="123" t="s">
        <v>3</v>
      </c>
    </row>
    <row r="101" spans="1:53" x14ac:dyDescent="0.25">
      <c r="A101" s="38">
        <v>98</v>
      </c>
      <c r="B101" s="139" t="s">
        <v>24</v>
      </c>
      <c r="C101" s="38" t="s">
        <v>138</v>
      </c>
      <c r="D101" s="38" t="s">
        <v>221</v>
      </c>
      <c r="E101" s="48">
        <v>516.91522099999997</v>
      </c>
      <c r="F101" s="102" t="s">
        <v>3</v>
      </c>
      <c r="G101" s="102" t="s">
        <v>3</v>
      </c>
      <c r="H101" s="102" t="s">
        <v>3</v>
      </c>
      <c r="I101" s="103" t="s">
        <v>3</v>
      </c>
      <c r="J101" s="103" t="s">
        <v>3</v>
      </c>
      <c r="K101" s="116" t="s">
        <v>3</v>
      </c>
      <c r="L101" s="97" t="s">
        <v>3</v>
      </c>
      <c r="M101" s="97" t="s">
        <v>3</v>
      </c>
      <c r="N101" s="97" t="s">
        <v>3</v>
      </c>
      <c r="O101" s="97" t="s">
        <v>3</v>
      </c>
      <c r="P101" s="97" t="s">
        <v>3</v>
      </c>
      <c r="Q101" s="97" t="s">
        <v>3</v>
      </c>
      <c r="R101" s="97" t="s">
        <v>3</v>
      </c>
      <c r="S101" s="97" t="s">
        <v>3</v>
      </c>
      <c r="T101" s="97" t="s">
        <v>3</v>
      </c>
      <c r="U101" s="97" t="s">
        <v>3</v>
      </c>
      <c r="V101" s="97" t="s">
        <v>3</v>
      </c>
      <c r="W101" s="101" t="s">
        <v>3</v>
      </c>
      <c r="X101" s="101" t="s">
        <v>3</v>
      </c>
      <c r="Y101" s="101" t="s">
        <v>3</v>
      </c>
      <c r="Z101" s="98" t="s">
        <v>3</v>
      </c>
      <c r="AA101" s="99" t="s">
        <v>3</v>
      </c>
      <c r="AB101" s="99" t="s">
        <v>3</v>
      </c>
      <c r="AC101" s="100" t="s">
        <v>3</v>
      </c>
      <c r="AD101" s="100" t="s">
        <v>3</v>
      </c>
      <c r="AE101" s="104" t="s">
        <v>3</v>
      </c>
      <c r="AF101" s="104" t="s">
        <v>3</v>
      </c>
      <c r="AG101" s="104" t="s">
        <v>3</v>
      </c>
      <c r="AH101" s="104" t="s">
        <v>3</v>
      </c>
      <c r="AI101" s="105" t="s">
        <v>3</v>
      </c>
      <c r="AJ101" s="105" t="s">
        <v>3</v>
      </c>
      <c r="AK101" s="105" t="s">
        <v>3</v>
      </c>
      <c r="AL101" s="105" t="s">
        <v>3</v>
      </c>
      <c r="AM101" s="105" t="s">
        <v>3</v>
      </c>
      <c r="AN101" s="106" t="s">
        <v>3</v>
      </c>
      <c r="AO101" s="106" t="s">
        <v>3</v>
      </c>
      <c r="AP101" s="106" t="s">
        <v>3</v>
      </c>
      <c r="AQ101" s="106" t="s">
        <v>3</v>
      </c>
      <c r="AR101" s="106" t="s">
        <v>3</v>
      </c>
      <c r="AS101" s="107" t="s">
        <v>3</v>
      </c>
      <c r="AT101" s="107" t="s">
        <v>3</v>
      </c>
      <c r="AU101" s="107" t="s">
        <v>3</v>
      </c>
      <c r="AV101" s="107" t="s">
        <v>3</v>
      </c>
      <c r="AW101" s="108" t="s">
        <v>3</v>
      </c>
      <c r="AX101" s="108" t="s">
        <v>3</v>
      </c>
      <c r="AY101" s="109" t="s">
        <v>3</v>
      </c>
      <c r="AZ101" s="109" t="s">
        <v>3</v>
      </c>
      <c r="BA101" s="123" t="s">
        <v>3</v>
      </c>
    </row>
    <row r="102" spans="1:53" x14ac:dyDescent="0.25">
      <c r="A102" s="38">
        <v>99</v>
      </c>
      <c r="B102" s="139" t="s">
        <v>24</v>
      </c>
      <c r="C102" s="38" t="s">
        <v>139</v>
      </c>
      <c r="D102" s="38" t="s">
        <v>221</v>
      </c>
      <c r="E102" s="48">
        <v>514.900668</v>
      </c>
      <c r="F102" s="102" t="s">
        <v>564</v>
      </c>
      <c r="G102" s="102" t="s">
        <v>564</v>
      </c>
      <c r="H102" s="102" t="s">
        <v>564</v>
      </c>
      <c r="I102" s="103" t="s">
        <v>3</v>
      </c>
      <c r="J102" s="103" t="s">
        <v>3</v>
      </c>
      <c r="K102" s="116" t="s">
        <v>3</v>
      </c>
      <c r="L102" s="97" t="s">
        <v>3</v>
      </c>
      <c r="M102" s="97" t="s">
        <v>3</v>
      </c>
      <c r="N102" s="97" t="s">
        <v>3</v>
      </c>
      <c r="O102" s="97" t="s">
        <v>3</v>
      </c>
      <c r="P102" s="97">
        <f>514.89807-514.90067</f>
        <v>-2.6000000000294676E-3</v>
      </c>
      <c r="Q102" s="97">
        <f>514.8988-514.90067</f>
        <v>-1.8699999999398642E-3</v>
      </c>
      <c r="R102" s="97" t="s">
        <v>3</v>
      </c>
      <c r="S102" s="97">
        <f>514.89868-514.90067</f>
        <v>-1.9899999999779538E-3</v>
      </c>
      <c r="T102" s="97" t="s">
        <v>3</v>
      </c>
      <c r="U102" s="97" t="s">
        <v>3</v>
      </c>
      <c r="V102" s="97" t="s">
        <v>3</v>
      </c>
      <c r="W102" s="101" t="s">
        <v>564</v>
      </c>
      <c r="X102" s="101" t="s">
        <v>564</v>
      </c>
      <c r="Y102" s="101" t="s">
        <v>564</v>
      </c>
      <c r="Z102" s="98" t="s">
        <v>3</v>
      </c>
      <c r="AA102" s="99" t="s">
        <v>3</v>
      </c>
      <c r="AB102" s="99" t="s">
        <v>3</v>
      </c>
      <c r="AC102" s="100" t="s">
        <v>3</v>
      </c>
      <c r="AD102" s="100" t="s">
        <v>3</v>
      </c>
      <c r="AE102" s="104" t="s">
        <v>3</v>
      </c>
      <c r="AF102" s="104" t="s">
        <v>3</v>
      </c>
      <c r="AG102" s="104" t="s">
        <v>3</v>
      </c>
      <c r="AH102" s="104" t="s">
        <v>3</v>
      </c>
      <c r="AI102" s="105" t="s">
        <v>3</v>
      </c>
      <c r="AJ102" s="105" t="s">
        <v>564</v>
      </c>
      <c r="AK102" s="105" t="s">
        <v>3</v>
      </c>
      <c r="AL102" s="105" t="s">
        <v>3</v>
      </c>
      <c r="AM102" s="105" t="s">
        <v>564</v>
      </c>
      <c r="AN102" s="106" t="s">
        <v>564</v>
      </c>
      <c r="AO102" s="106" t="s">
        <v>564</v>
      </c>
      <c r="AP102" s="106" t="s">
        <v>564</v>
      </c>
      <c r="AQ102" s="106" t="s">
        <v>564</v>
      </c>
      <c r="AR102" s="106" t="s">
        <v>564</v>
      </c>
      <c r="AS102" s="107" t="s">
        <v>3</v>
      </c>
      <c r="AT102" s="107" t="s">
        <v>3</v>
      </c>
      <c r="AU102" s="107" t="s">
        <v>3</v>
      </c>
      <c r="AV102" s="107" t="s">
        <v>3</v>
      </c>
      <c r="AW102" s="108" t="s">
        <v>3</v>
      </c>
      <c r="AX102" s="108" t="s">
        <v>3</v>
      </c>
      <c r="AY102" s="109" t="s">
        <v>3</v>
      </c>
      <c r="AZ102" s="109" t="s">
        <v>3</v>
      </c>
      <c r="BA102" s="123" t="s">
        <v>3</v>
      </c>
    </row>
    <row r="103" spans="1:53" x14ac:dyDescent="0.25">
      <c r="A103" s="38">
        <v>100</v>
      </c>
      <c r="B103" s="139" t="s">
        <v>25</v>
      </c>
      <c r="C103" s="38" t="s">
        <v>138</v>
      </c>
      <c r="D103" s="38" t="s">
        <v>222</v>
      </c>
      <c r="E103" s="48">
        <v>416.94607300000001</v>
      </c>
      <c r="F103" s="102" t="s">
        <v>3</v>
      </c>
      <c r="G103" s="102" t="s">
        <v>3</v>
      </c>
      <c r="H103" s="102" t="s">
        <v>3</v>
      </c>
      <c r="I103" s="103" t="s">
        <v>3</v>
      </c>
      <c r="J103" s="103" t="s">
        <v>3</v>
      </c>
      <c r="K103" s="116" t="s">
        <v>3</v>
      </c>
      <c r="L103" s="97" t="s">
        <v>3</v>
      </c>
      <c r="M103" s="97" t="s">
        <v>3</v>
      </c>
      <c r="N103" s="97" t="s">
        <v>3</v>
      </c>
      <c r="O103" s="97" t="s">
        <v>3</v>
      </c>
      <c r="P103" s="97" t="s">
        <v>3</v>
      </c>
      <c r="Q103" s="97" t="s">
        <v>3</v>
      </c>
      <c r="R103" s="97" t="s">
        <v>3</v>
      </c>
      <c r="S103" s="97" t="s">
        <v>3</v>
      </c>
      <c r="T103" s="97" t="s">
        <v>3</v>
      </c>
      <c r="U103" s="97" t="s">
        <v>3</v>
      </c>
      <c r="V103" s="97" t="s">
        <v>3</v>
      </c>
      <c r="W103" s="101" t="s">
        <v>3</v>
      </c>
      <c r="X103" s="101" t="s">
        <v>3</v>
      </c>
      <c r="Y103" s="101" t="s">
        <v>3</v>
      </c>
      <c r="Z103" s="98" t="s">
        <v>3</v>
      </c>
      <c r="AA103" s="99" t="s">
        <v>3</v>
      </c>
      <c r="AB103" s="99" t="s">
        <v>3</v>
      </c>
      <c r="AC103" s="100" t="s">
        <v>3</v>
      </c>
      <c r="AD103" s="100" t="s">
        <v>3</v>
      </c>
      <c r="AE103" s="104" t="s">
        <v>3</v>
      </c>
      <c r="AF103" s="104" t="s">
        <v>3</v>
      </c>
      <c r="AG103" s="104" t="s">
        <v>3</v>
      </c>
      <c r="AH103" s="104" t="s">
        <v>3</v>
      </c>
      <c r="AI103" s="105" t="s">
        <v>3</v>
      </c>
      <c r="AJ103" s="105" t="s">
        <v>3</v>
      </c>
      <c r="AK103" s="105" t="s">
        <v>3</v>
      </c>
      <c r="AL103" s="105" t="s">
        <v>3</v>
      </c>
      <c r="AM103" s="105" t="s">
        <v>3</v>
      </c>
      <c r="AN103" s="106" t="s">
        <v>3</v>
      </c>
      <c r="AO103" s="106" t="s">
        <v>3</v>
      </c>
      <c r="AP103" s="106" t="s">
        <v>3</v>
      </c>
      <c r="AQ103" s="106" t="s">
        <v>3</v>
      </c>
      <c r="AR103" s="106" t="s">
        <v>3</v>
      </c>
      <c r="AS103" s="107" t="s">
        <v>3</v>
      </c>
      <c r="AT103" s="107" t="s">
        <v>3</v>
      </c>
      <c r="AU103" s="107" t="s">
        <v>3</v>
      </c>
      <c r="AV103" s="107" t="s">
        <v>3</v>
      </c>
      <c r="AW103" s="108" t="s">
        <v>3</v>
      </c>
      <c r="AX103" s="108" t="s">
        <v>3</v>
      </c>
      <c r="AY103" s="109" t="s">
        <v>3</v>
      </c>
      <c r="AZ103" s="109" t="s">
        <v>3</v>
      </c>
      <c r="BA103" s="123" t="s">
        <v>3</v>
      </c>
    </row>
    <row r="104" spans="1:53" x14ac:dyDescent="0.25">
      <c r="A104" s="38">
        <v>101</v>
      </c>
      <c r="B104" s="139" t="s">
        <v>25</v>
      </c>
      <c r="C104" s="38" t="s">
        <v>139</v>
      </c>
      <c r="D104" s="38" t="s">
        <v>222</v>
      </c>
      <c r="E104" s="48">
        <v>414.93151999999998</v>
      </c>
      <c r="F104" s="102" t="s">
        <v>564</v>
      </c>
      <c r="G104" s="102" t="s">
        <v>564</v>
      </c>
      <c r="H104" s="102" t="s">
        <v>564</v>
      </c>
      <c r="I104" s="103" t="s">
        <v>3</v>
      </c>
      <c r="J104" s="103" t="s">
        <v>3</v>
      </c>
      <c r="K104" s="116" t="s">
        <v>3</v>
      </c>
      <c r="L104" s="97" t="s">
        <v>3</v>
      </c>
      <c r="M104" s="97" t="s">
        <v>3</v>
      </c>
      <c r="N104" s="97" t="s">
        <v>3</v>
      </c>
      <c r="O104" s="97" t="s">
        <v>3</v>
      </c>
      <c r="P104" s="97" t="s">
        <v>3</v>
      </c>
      <c r="Q104" s="97" t="s">
        <v>3</v>
      </c>
      <c r="R104" s="97" t="s">
        <v>3</v>
      </c>
      <c r="S104" s="97" t="s">
        <v>3</v>
      </c>
      <c r="T104" s="97" t="s">
        <v>3</v>
      </c>
      <c r="U104" s="97" t="s">
        <v>3</v>
      </c>
      <c r="V104" s="97" t="s">
        <v>3</v>
      </c>
      <c r="W104" s="101" t="s">
        <v>564</v>
      </c>
      <c r="X104" s="101" t="s">
        <v>564</v>
      </c>
      <c r="Y104" s="101" t="s">
        <v>564</v>
      </c>
      <c r="Z104" s="98" t="s">
        <v>3</v>
      </c>
      <c r="AA104" s="99" t="s">
        <v>3</v>
      </c>
      <c r="AB104" s="99" t="s">
        <v>3</v>
      </c>
      <c r="AC104" s="100" t="s">
        <v>3</v>
      </c>
      <c r="AD104" s="100" t="s">
        <v>3</v>
      </c>
      <c r="AE104" s="104" t="s">
        <v>3</v>
      </c>
      <c r="AF104" s="104" t="s">
        <v>3</v>
      </c>
      <c r="AG104" s="104" t="s">
        <v>3</v>
      </c>
      <c r="AH104" s="104" t="s">
        <v>3</v>
      </c>
      <c r="AI104" s="105" t="s">
        <v>3</v>
      </c>
      <c r="AJ104" s="105" t="s">
        <v>564</v>
      </c>
      <c r="AK104" s="105" t="s">
        <v>3</v>
      </c>
      <c r="AL104" s="105" t="s">
        <v>3</v>
      </c>
      <c r="AM104" s="105" t="s">
        <v>564</v>
      </c>
      <c r="AN104" s="106" t="s">
        <v>564</v>
      </c>
      <c r="AO104" s="106" t="s">
        <v>564</v>
      </c>
      <c r="AP104" s="106" t="s">
        <v>564</v>
      </c>
      <c r="AQ104" s="106" t="s">
        <v>564</v>
      </c>
      <c r="AR104" s="106" t="s">
        <v>564</v>
      </c>
      <c r="AS104" s="107" t="s">
        <v>3</v>
      </c>
      <c r="AT104" s="107" t="s">
        <v>3</v>
      </c>
      <c r="AU104" s="107" t="s">
        <v>3</v>
      </c>
      <c r="AV104" s="107" t="s">
        <v>3</v>
      </c>
      <c r="AW104" s="108" t="s">
        <v>3</v>
      </c>
      <c r="AX104" s="108" t="s">
        <v>3</v>
      </c>
      <c r="AY104" s="109" t="s">
        <v>3</v>
      </c>
      <c r="AZ104" s="109" t="s">
        <v>3</v>
      </c>
      <c r="BA104" s="123" t="s">
        <v>3</v>
      </c>
    </row>
    <row r="105" spans="1:53" x14ac:dyDescent="0.25">
      <c r="A105" s="38">
        <v>102</v>
      </c>
      <c r="B105" s="139" t="s">
        <v>26</v>
      </c>
      <c r="C105" s="38" t="s">
        <v>138</v>
      </c>
      <c r="D105" s="38" t="s">
        <v>223</v>
      </c>
      <c r="E105" s="48">
        <v>478.942879</v>
      </c>
      <c r="F105" s="102" t="s">
        <v>3</v>
      </c>
      <c r="G105" s="102" t="s">
        <v>3</v>
      </c>
      <c r="H105" s="102" t="s">
        <v>3</v>
      </c>
      <c r="I105" s="103" t="s">
        <v>3</v>
      </c>
      <c r="J105" s="103" t="s">
        <v>3</v>
      </c>
      <c r="K105" s="116" t="s">
        <v>3</v>
      </c>
      <c r="L105" s="97" t="s">
        <v>3</v>
      </c>
      <c r="M105" s="97" t="s">
        <v>3</v>
      </c>
      <c r="N105" s="97" t="s">
        <v>3</v>
      </c>
      <c r="O105" s="97" t="s">
        <v>3</v>
      </c>
      <c r="P105" s="97" t="s">
        <v>3</v>
      </c>
      <c r="Q105" s="97" t="s">
        <v>3</v>
      </c>
      <c r="R105" s="97" t="s">
        <v>3</v>
      </c>
      <c r="S105" s="97" t="s">
        <v>3</v>
      </c>
      <c r="T105" s="97" t="s">
        <v>3</v>
      </c>
      <c r="U105" s="97" t="s">
        <v>3</v>
      </c>
      <c r="V105" s="97" t="s">
        <v>3</v>
      </c>
      <c r="W105" s="101" t="s">
        <v>3</v>
      </c>
      <c r="X105" s="101" t="s">
        <v>3</v>
      </c>
      <c r="Y105" s="101" t="s">
        <v>3</v>
      </c>
      <c r="Z105" s="98" t="s">
        <v>3</v>
      </c>
      <c r="AA105" s="99" t="s">
        <v>3</v>
      </c>
      <c r="AB105" s="99" t="s">
        <v>3</v>
      </c>
      <c r="AC105" s="100" t="s">
        <v>3</v>
      </c>
      <c r="AD105" s="100" t="s">
        <v>3</v>
      </c>
      <c r="AE105" s="104" t="s">
        <v>3</v>
      </c>
      <c r="AF105" s="104" t="s">
        <v>3</v>
      </c>
      <c r="AG105" s="104" t="s">
        <v>3</v>
      </c>
      <c r="AH105" s="104" t="s">
        <v>3</v>
      </c>
      <c r="AI105" s="105" t="s">
        <v>3</v>
      </c>
      <c r="AJ105" s="105" t="s">
        <v>3</v>
      </c>
      <c r="AK105" s="105" t="s">
        <v>3</v>
      </c>
      <c r="AL105" s="105" t="s">
        <v>3</v>
      </c>
      <c r="AM105" s="105" t="s">
        <v>3</v>
      </c>
      <c r="AN105" s="106" t="s">
        <v>3</v>
      </c>
      <c r="AO105" s="106" t="s">
        <v>3</v>
      </c>
      <c r="AP105" s="106" t="s">
        <v>3</v>
      </c>
      <c r="AQ105" s="106" t="s">
        <v>3</v>
      </c>
      <c r="AR105" s="106" t="s">
        <v>3</v>
      </c>
      <c r="AS105" s="107" t="s">
        <v>3</v>
      </c>
      <c r="AT105" s="107" t="s">
        <v>3</v>
      </c>
      <c r="AU105" s="107" t="s">
        <v>3</v>
      </c>
      <c r="AV105" s="107" t="s">
        <v>3</v>
      </c>
      <c r="AW105" s="108" t="s">
        <v>3</v>
      </c>
      <c r="AX105" s="108" t="s">
        <v>3</v>
      </c>
      <c r="AY105" s="109" t="s">
        <v>3</v>
      </c>
      <c r="AZ105" s="109" t="s">
        <v>3</v>
      </c>
      <c r="BA105" s="123" t="s">
        <v>3</v>
      </c>
    </row>
    <row r="106" spans="1:53" x14ac:dyDescent="0.25">
      <c r="A106" s="38">
        <v>103</v>
      </c>
      <c r="B106" s="139" t="s">
        <v>26</v>
      </c>
      <c r="C106" s="38" t="s">
        <v>139</v>
      </c>
      <c r="D106" s="38" t="s">
        <v>223</v>
      </c>
      <c r="E106" s="48">
        <v>476.92832600000003</v>
      </c>
      <c r="F106" s="102" t="s">
        <v>564</v>
      </c>
      <c r="G106" s="102" t="s">
        <v>564</v>
      </c>
      <c r="H106" s="102" t="s">
        <v>564</v>
      </c>
      <c r="I106" s="103" t="s">
        <v>3</v>
      </c>
      <c r="J106" s="103" t="s">
        <v>3</v>
      </c>
      <c r="K106" s="116" t="s">
        <v>3</v>
      </c>
      <c r="L106" s="97" t="s">
        <v>3</v>
      </c>
      <c r="M106" s="97" t="s">
        <v>3</v>
      </c>
      <c r="N106" s="97">
        <f>476.92679-476.92833</f>
        <v>-1.5400000000340697E-3</v>
      </c>
      <c r="O106" s="97" t="s">
        <v>3</v>
      </c>
      <c r="P106" s="97">
        <f>476.9263-476.92833</f>
        <v>-2.0299999999906504E-3</v>
      </c>
      <c r="Q106" s="97" t="s">
        <v>3</v>
      </c>
      <c r="R106" s="97" t="s">
        <v>3</v>
      </c>
      <c r="S106" s="97">
        <f>476.92581-476.92833</f>
        <v>-2.5200000000040745E-3</v>
      </c>
      <c r="T106" s="97" t="s">
        <v>3</v>
      </c>
      <c r="U106" s="97" t="s">
        <v>3</v>
      </c>
      <c r="V106" s="97">
        <f>476.92761-476.92833</f>
        <v>-7.2000000000116415E-4</v>
      </c>
      <c r="W106" s="101" t="s">
        <v>564</v>
      </c>
      <c r="X106" s="101" t="s">
        <v>564</v>
      </c>
      <c r="Y106" s="101" t="s">
        <v>564</v>
      </c>
      <c r="Z106" s="98" t="s">
        <v>3</v>
      </c>
      <c r="AA106" s="99" t="s">
        <v>3</v>
      </c>
      <c r="AB106" s="99" t="s">
        <v>3</v>
      </c>
      <c r="AC106" s="100" t="s">
        <v>3</v>
      </c>
      <c r="AD106" s="100" t="s">
        <v>3</v>
      </c>
      <c r="AE106" s="104" t="s">
        <v>3</v>
      </c>
      <c r="AF106" s="104" t="s">
        <v>3</v>
      </c>
      <c r="AG106" s="104" t="s">
        <v>3</v>
      </c>
      <c r="AH106" s="104" t="s">
        <v>3</v>
      </c>
      <c r="AI106" s="105" t="s">
        <v>3</v>
      </c>
      <c r="AJ106" s="105" t="s">
        <v>564</v>
      </c>
      <c r="AK106" s="105" t="s">
        <v>3</v>
      </c>
      <c r="AL106" s="105" t="s">
        <v>3</v>
      </c>
      <c r="AM106" s="105" t="s">
        <v>564</v>
      </c>
      <c r="AN106" s="106" t="s">
        <v>564</v>
      </c>
      <c r="AO106" s="106" t="s">
        <v>564</v>
      </c>
      <c r="AP106" s="106" t="s">
        <v>564</v>
      </c>
      <c r="AQ106" s="106" t="s">
        <v>564</v>
      </c>
      <c r="AR106" s="106" t="s">
        <v>564</v>
      </c>
      <c r="AS106" s="107" t="s">
        <v>3</v>
      </c>
      <c r="AT106" s="107" t="s">
        <v>3</v>
      </c>
      <c r="AU106" s="107" t="s">
        <v>3</v>
      </c>
      <c r="AV106" s="107" t="s">
        <v>3</v>
      </c>
      <c r="AW106" s="108" t="s">
        <v>3</v>
      </c>
      <c r="AX106" s="108" t="s">
        <v>3</v>
      </c>
      <c r="AY106" s="109" t="s">
        <v>3</v>
      </c>
      <c r="AZ106" s="109" t="s">
        <v>3</v>
      </c>
      <c r="BA106" s="123" t="s">
        <v>3</v>
      </c>
    </row>
    <row r="107" spans="1:53" x14ac:dyDescent="0.25">
      <c r="A107" s="38">
        <v>104</v>
      </c>
      <c r="B107" s="139" t="s">
        <v>118</v>
      </c>
      <c r="C107" s="38" t="s">
        <v>138</v>
      </c>
      <c r="D107" s="38" t="s">
        <v>224</v>
      </c>
      <c r="E107" s="48">
        <v>325.17106799999999</v>
      </c>
      <c r="F107" s="102" t="s">
        <v>3</v>
      </c>
      <c r="G107" s="102" t="s">
        <v>3</v>
      </c>
      <c r="H107" s="102" t="s">
        <v>3</v>
      </c>
      <c r="I107" s="103" t="s">
        <v>3</v>
      </c>
      <c r="J107" s="103" t="s">
        <v>3</v>
      </c>
      <c r="K107" s="116">
        <f>325.17029-325.1711</f>
        <v>-8.1000000000130967E-4</v>
      </c>
      <c r="L107" s="97" t="s">
        <v>3</v>
      </c>
      <c r="M107" s="97">
        <f>325.1713-325.17107</f>
        <v>2.2999999998774001E-4</v>
      </c>
      <c r="N107" s="97">
        <f>325.1712-325.17107</f>
        <v>1.3000000001284207E-4</v>
      </c>
      <c r="O107" s="97">
        <f>325.17099-325.17107</f>
        <v>-7.9999999968549673E-5</v>
      </c>
      <c r="P107" s="97">
        <f>325.1713-325.17107</f>
        <v>2.2999999998774001E-4</v>
      </c>
      <c r="Q107" s="97">
        <f>325.17181-325.17107</f>
        <v>7.4000000000751243E-4</v>
      </c>
      <c r="R107" s="97">
        <f>325.17139-325.17107</f>
        <v>3.1999999998788553E-4</v>
      </c>
      <c r="S107" s="97">
        <f>325.1712-325.17107</f>
        <v>1.3000000001284207E-4</v>
      </c>
      <c r="T107" s="97">
        <f>325.17139-325.17107</f>
        <v>3.1999999998788553E-4</v>
      </c>
      <c r="U107" s="97">
        <f>325.17139-325.17107</f>
        <v>3.1999999998788553E-4</v>
      </c>
      <c r="V107" s="97">
        <f>325.17139-325.17107</f>
        <v>3.1999999998788553E-4</v>
      </c>
      <c r="W107" s="101">
        <f>325.1713-325.17107</f>
        <v>2.2999999998774001E-4</v>
      </c>
      <c r="X107" s="101">
        <f>325.1712-325.17107</f>
        <v>1.3000000001284207E-4</v>
      </c>
      <c r="Y107" s="101">
        <f>325.1713-325.17107</f>
        <v>2.2999999998774001E-4</v>
      </c>
      <c r="Z107" s="98" t="s">
        <v>3</v>
      </c>
      <c r="AA107" s="99">
        <f>325.1713-325.17107</f>
        <v>2.2999999998774001E-4</v>
      </c>
      <c r="AB107" s="99" t="s">
        <v>3</v>
      </c>
      <c r="AC107" s="100" t="s">
        <v>3</v>
      </c>
      <c r="AD107" s="100" t="s">
        <v>3</v>
      </c>
      <c r="AE107" s="104">
        <f>325.17094-E107</f>
        <v>-1.2800000001789158E-4</v>
      </c>
      <c r="AF107" s="104">
        <f>325.17159-E107</f>
        <v>5.2199999998947533E-4</v>
      </c>
      <c r="AG107" s="104">
        <f>325.17091-E107</f>
        <v>-1.5799999999899228E-4</v>
      </c>
      <c r="AH107" s="104">
        <f>325.17098-E107</f>
        <v>-8.8000000005195034E-5</v>
      </c>
      <c r="AI107" s="105" t="s">
        <v>3</v>
      </c>
      <c r="AJ107" s="105">
        <v>-5.1E-5</v>
      </c>
      <c r="AK107" s="105">
        <v>3.6600000000000001E-4</v>
      </c>
      <c r="AL107" s="105">
        <v>5.2700000000000002E-4</v>
      </c>
      <c r="AM107" s="105" t="s">
        <v>3</v>
      </c>
      <c r="AN107" s="106" t="s">
        <v>3</v>
      </c>
      <c r="AO107" s="106" t="s">
        <v>3</v>
      </c>
      <c r="AP107" s="106" t="s">
        <v>3</v>
      </c>
      <c r="AQ107" s="106" t="s">
        <v>3</v>
      </c>
      <c r="AR107" s="106" t="s">
        <v>3</v>
      </c>
      <c r="AS107" s="107">
        <f>325.17249-E107</f>
        <v>1.4219999999909305E-3</v>
      </c>
      <c r="AT107" s="107">
        <f>325.17139-E107</f>
        <v>3.2199999998283602E-4</v>
      </c>
      <c r="AU107" s="107">
        <f>325.173-E107</f>
        <v>1.9320000000107029E-3</v>
      </c>
      <c r="AV107" s="107">
        <f>325.17331-E107</f>
        <v>2.242000000023836E-3</v>
      </c>
      <c r="AW107" s="108" t="s">
        <v>3</v>
      </c>
      <c r="AX107" s="108" t="s">
        <v>3</v>
      </c>
      <c r="AY107" s="109" t="s">
        <v>3</v>
      </c>
      <c r="AZ107" s="109" t="s">
        <v>3</v>
      </c>
      <c r="BA107" s="123">
        <v>1.2320000000158871E-3</v>
      </c>
    </row>
    <row r="108" spans="1:53" x14ac:dyDescent="0.25">
      <c r="A108" s="38">
        <v>105</v>
      </c>
      <c r="B108" s="139" t="s">
        <v>108</v>
      </c>
      <c r="C108" s="38" t="s">
        <v>138</v>
      </c>
      <c r="D108" s="38" t="s">
        <v>225</v>
      </c>
      <c r="E108" s="48">
        <v>343.18163299999998</v>
      </c>
      <c r="F108" s="102" t="s">
        <v>3</v>
      </c>
      <c r="G108" s="102" t="s">
        <v>3</v>
      </c>
      <c r="H108" s="102" t="s">
        <v>3</v>
      </c>
      <c r="I108" s="103" t="s">
        <v>3</v>
      </c>
      <c r="J108" s="103" t="s">
        <v>3</v>
      </c>
      <c r="K108" s="116" t="s">
        <v>3</v>
      </c>
      <c r="L108" s="97" t="s">
        <v>3</v>
      </c>
      <c r="M108" s="97" t="s">
        <v>3</v>
      </c>
      <c r="N108" s="97" t="s">
        <v>3</v>
      </c>
      <c r="O108" s="97" t="s">
        <v>3</v>
      </c>
      <c r="P108" s="97" t="s">
        <v>3</v>
      </c>
      <c r="Q108" s="97" t="s">
        <v>3</v>
      </c>
      <c r="R108" s="97" t="s">
        <v>3</v>
      </c>
      <c r="S108" s="97" t="s">
        <v>3</v>
      </c>
      <c r="T108" s="97" t="s">
        <v>3</v>
      </c>
      <c r="U108" s="97" t="s">
        <v>3</v>
      </c>
      <c r="V108" s="97" t="s">
        <v>3</v>
      </c>
      <c r="W108" s="101" t="s">
        <v>3</v>
      </c>
      <c r="X108" s="101" t="s">
        <v>3</v>
      </c>
      <c r="Y108" s="101" t="s">
        <v>3</v>
      </c>
      <c r="Z108" s="98" t="s">
        <v>3</v>
      </c>
      <c r="AA108" s="99" t="s">
        <v>3</v>
      </c>
      <c r="AB108" s="99" t="s">
        <v>3</v>
      </c>
      <c r="AC108" s="100" t="s">
        <v>3</v>
      </c>
      <c r="AD108" s="100" t="s">
        <v>3</v>
      </c>
      <c r="AE108" s="104" t="s">
        <v>3</v>
      </c>
      <c r="AF108" s="104" t="s">
        <v>3</v>
      </c>
      <c r="AG108" s="104" t="s">
        <v>3</v>
      </c>
      <c r="AH108" s="104" t="s">
        <v>3</v>
      </c>
      <c r="AI108" s="105" t="s">
        <v>3</v>
      </c>
      <c r="AJ108" s="105" t="s">
        <v>3</v>
      </c>
      <c r="AK108" s="105" t="s">
        <v>3</v>
      </c>
      <c r="AL108" s="105" t="s">
        <v>3</v>
      </c>
      <c r="AM108" s="105" t="s">
        <v>3</v>
      </c>
      <c r="AN108" s="106" t="s">
        <v>3</v>
      </c>
      <c r="AO108" s="106" t="s">
        <v>3</v>
      </c>
      <c r="AP108" s="106" t="s">
        <v>3</v>
      </c>
      <c r="AQ108" s="106" t="s">
        <v>3</v>
      </c>
      <c r="AR108" s="106" t="s">
        <v>3</v>
      </c>
      <c r="AS108" s="107" t="s">
        <v>3</v>
      </c>
      <c r="AT108" s="107" t="s">
        <v>3</v>
      </c>
      <c r="AU108" s="107" t="s">
        <v>3</v>
      </c>
      <c r="AV108" s="107" t="s">
        <v>3</v>
      </c>
      <c r="AW108" s="108" t="s">
        <v>3</v>
      </c>
      <c r="AX108" s="108" t="s">
        <v>3</v>
      </c>
      <c r="AY108" s="109" t="s">
        <v>3</v>
      </c>
      <c r="AZ108" s="109" t="s">
        <v>3</v>
      </c>
      <c r="BA108" s="123" t="s">
        <v>3</v>
      </c>
    </row>
    <row r="109" spans="1:53" x14ac:dyDescent="0.25">
      <c r="A109" s="38">
        <v>106</v>
      </c>
      <c r="B109" s="139" t="s">
        <v>109</v>
      </c>
      <c r="C109" s="38" t="s">
        <v>138</v>
      </c>
      <c r="D109" s="38" t="s">
        <v>226</v>
      </c>
      <c r="E109" s="48">
        <v>345.173473</v>
      </c>
      <c r="F109" s="102" t="s">
        <v>3</v>
      </c>
      <c r="G109" s="102" t="s">
        <v>3</v>
      </c>
      <c r="H109" s="102" t="s">
        <v>3</v>
      </c>
      <c r="I109" s="103" t="s">
        <v>3</v>
      </c>
      <c r="J109" s="103" t="s">
        <v>3</v>
      </c>
      <c r="K109" s="116" t="s">
        <v>3</v>
      </c>
      <c r="L109" s="97" t="s">
        <v>3</v>
      </c>
      <c r="M109" s="97" t="s">
        <v>3</v>
      </c>
      <c r="N109" s="97" t="s">
        <v>3</v>
      </c>
      <c r="O109" s="97" t="s">
        <v>3</v>
      </c>
      <c r="P109" s="97" t="s">
        <v>3</v>
      </c>
      <c r="Q109" s="97" t="s">
        <v>3</v>
      </c>
      <c r="R109" s="97" t="s">
        <v>3</v>
      </c>
      <c r="S109" s="97" t="s">
        <v>3</v>
      </c>
      <c r="T109" s="97" t="s">
        <v>3</v>
      </c>
      <c r="U109" s="97" t="s">
        <v>3</v>
      </c>
      <c r="V109" s="97" t="s">
        <v>3</v>
      </c>
      <c r="W109" s="101" t="s">
        <v>3</v>
      </c>
      <c r="X109" s="101" t="s">
        <v>3</v>
      </c>
      <c r="Y109" s="101" t="s">
        <v>3</v>
      </c>
      <c r="Z109" s="98" t="s">
        <v>3</v>
      </c>
      <c r="AA109" s="99" t="s">
        <v>3</v>
      </c>
      <c r="AB109" s="99" t="s">
        <v>3</v>
      </c>
      <c r="AC109" s="100" t="s">
        <v>3</v>
      </c>
      <c r="AD109" s="100" t="s">
        <v>3</v>
      </c>
      <c r="AE109" s="104" t="s">
        <v>3</v>
      </c>
      <c r="AF109" s="104" t="s">
        <v>3</v>
      </c>
      <c r="AG109" s="104" t="s">
        <v>3</v>
      </c>
      <c r="AH109" s="104" t="s">
        <v>3</v>
      </c>
      <c r="AI109" s="105" t="s">
        <v>3</v>
      </c>
      <c r="AJ109" s="105" t="s">
        <v>3</v>
      </c>
      <c r="AK109" s="105" t="s">
        <v>3</v>
      </c>
      <c r="AL109" s="105" t="s">
        <v>3</v>
      </c>
      <c r="AM109" s="105" t="s">
        <v>3</v>
      </c>
      <c r="AN109" s="106" t="s">
        <v>3</v>
      </c>
      <c r="AO109" s="106" t="s">
        <v>3</v>
      </c>
      <c r="AP109" s="106" t="s">
        <v>3</v>
      </c>
      <c r="AQ109" s="106" t="s">
        <v>3</v>
      </c>
      <c r="AR109" s="106" t="s">
        <v>3</v>
      </c>
      <c r="AS109" s="107" t="s">
        <v>3</v>
      </c>
      <c r="AT109" s="107" t="s">
        <v>3</v>
      </c>
      <c r="AU109" s="107" t="s">
        <v>3</v>
      </c>
      <c r="AV109" s="107" t="s">
        <v>3</v>
      </c>
      <c r="AW109" s="108" t="s">
        <v>3</v>
      </c>
      <c r="AX109" s="108" t="s">
        <v>3</v>
      </c>
      <c r="AY109" s="109" t="s">
        <v>3</v>
      </c>
      <c r="AZ109" s="109" t="s">
        <v>3</v>
      </c>
      <c r="BA109" s="123" t="s">
        <v>3</v>
      </c>
    </row>
    <row r="110" spans="1:53" x14ac:dyDescent="0.25">
      <c r="A110" s="38">
        <v>107</v>
      </c>
      <c r="B110" s="139" t="s">
        <v>110</v>
      </c>
      <c r="C110" s="38" t="s">
        <v>138</v>
      </c>
      <c r="D110" s="38" t="s">
        <v>227</v>
      </c>
      <c r="E110" s="48">
        <v>341.16598299999998</v>
      </c>
      <c r="F110" s="102" t="s">
        <v>3</v>
      </c>
      <c r="G110" s="102" t="s">
        <v>3</v>
      </c>
      <c r="H110" s="102" t="s">
        <v>3</v>
      </c>
      <c r="I110" s="103" t="s">
        <v>3</v>
      </c>
      <c r="J110" s="103" t="s">
        <v>3</v>
      </c>
      <c r="K110" s="116" t="s">
        <v>3</v>
      </c>
      <c r="L110" s="97" t="s">
        <v>3</v>
      </c>
      <c r="M110" s="97">
        <f>341.1662-341.16598</f>
        <v>2.2000000001298758E-4</v>
      </c>
      <c r="N110" s="97">
        <f>341.16611-341.16598</f>
        <v>1.3000000001284207E-4</v>
      </c>
      <c r="O110" s="97">
        <f>341.1658-341.16598</f>
        <v>-1.8000000000029104E-4</v>
      </c>
      <c r="P110" s="97">
        <f>341.1662-341.16598</f>
        <v>2.2000000001298758E-4</v>
      </c>
      <c r="Q110" s="97">
        <f>341.1658-341.16598</f>
        <v>-1.8000000000029104E-4</v>
      </c>
      <c r="R110" s="97">
        <f>341.1662-341.16598</f>
        <v>2.2000000001298758E-4</v>
      </c>
      <c r="S110" s="97">
        <f>341.1662-341.16598</f>
        <v>2.2000000001298758E-4</v>
      </c>
      <c r="T110" s="97">
        <f>341.1662-341.16598</f>
        <v>2.2000000001298758E-4</v>
      </c>
      <c r="U110" s="97">
        <f>341.16629-341.16598</f>
        <v>3.100000000131331E-4</v>
      </c>
      <c r="V110" s="97">
        <f>341.16589-341.16598</f>
        <v>-9.0000000000145519E-5</v>
      </c>
      <c r="W110" s="101">
        <f>341.1662-341.16598</f>
        <v>2.2000000001298758E-4</v>
      </c>
      <c r="X110" s="101">
        <f>341.16641-341.16598</f>
        <v>4.2999999999437932E-4</v>
      </c>
      <c r="Y110" s="101" t="s">
        <v>3</v>
      </c>
      <c r="Z110" s="98">
        <f>341.164-341.16598</f>
        <v>-1.9800000000032014E-3</v>
      </c>
      <c r="AA110" s="99">
        <f>341.16629-341.16598</f>
        <v>3.100000000131331E-4</v>
      </c>
      <c r="AB110" s="99" t="s">
        <v>3</v>
      </c>
      <c r="AC110" s="100" t="s">
        <v>3</v>
      </c>
      <c r="AD110" s="100" t="s">
        <v>3</v>
      </c>
      <c r="AE110" s="104" t="s">
        <v>3</v>
      </c>
      <c r="AF110" s="104">
        <f>341.16631-E110</f>
        <v>3.2700000002705565E-4</v>
      </c>
      <c r="AG110" s="104" t="s">
        <v>3</v>
      </c>
      <c r="AH110" s="104" t="s">
        <v>3</v>
      </c>
      <c r="AI110" s="105">
        <v>2.3549999999999999E-3</v>
      </c>
      <c r="AJ110" s="105" t="s">
        <v>3</v>
      </c>
      <c r="AK110" s="105" t="s">
        <v>3</v>
      </c>
      <c r="AL110" s="105">
        <v>6.5300000000000004E-4</v>
      </c>
      <c r="AM110" s="105" t="s">
        <v>3</v>
      </c>
      <c r="AN110" s="111">
        <f>341.165481892198-E110</f>
        <v>-5.0110780199474902E-4</v>
      </c>
      <c r="AO110" s="111">
        <f>341.166177210028-E110</f>
        <v>1.9421002804165255E-4</v>
      </c>
      <c r="AP110" s="106" t="s">
        <v>3</v>
      </c>
      <c r="AQ110" s="106" t="s">
        <v>3</v>
      </c>
      <c r="AR110" s="106" t="s">
        <v>3</v>
      </c>
      <c r="AS110" s="107" t="s">
        <v>3</v>
      </c>
      <c r="AT110" s="107" t="s">
        <v>3</v>
      </c>
      <c r="AU110" s="107" t="s">
        <v>3</v>
      </c>
      <c r="AV110" s="107" t="s">
        <v>3</v>
      </c>
      <c r="AW110" s="108" t="s">
        <v>3</v>
      </c>
      <c r="AX110" s="108" t="s">
        <v>3</v>
      </c>
      <c r="AY110" s="109" t="s">
        <v>3</v>
      </c>
      <c r="AZ110" s="109">
        <v>1.5151000000059867E-3</v>
      </c>
      <c r="BA110" s="123" t="s">
        <v>3</v>
      </c>
    </row>
    <row r="111" spans="1:53" x14ac:dyDescent="0.25">
      <c r="A111" s="38">
        <v>108</v>
      </c>
      <c r="B111" s="139" t="s">
        <v>111</v>
      </c>
      <c r="C111" s="38" t="s">
        <v>138</v>
      </c>
      <c r="D111" s="38" t="s">
        <v>228</v>
      </c>
      <c r="E111" s="48">
        <v>312.16324300000002</v>
      </c>
      <c r="F111" s="102" t="s">
        <v>3</v>
      </c>
      <c r="G111" s="102" t="s">
        <v>3</v>
      </c>
      <c r="H111" s="102" t="s">
        <v>3</v>
      </c>
      <c r="I111" s="103" t="s">
        <v>3</v>
      </c>
      <c r="J111" s="103" t="s">
        <v>3</v>
      </c>
      <c r="K111" s="116" t="s">
        <v>3</v>
      </c>
      <c r="L111" s="97" t="s">
        <v>3</v>
      </c>
      <c r="M111" s="97">
        <f>312.16299-312.16324</f>
        <v>-2.4999999999408828E-4</v>
      </c>
      <c r="N111" s="97">
        <f>312.16269-312.16324</f>
        <v>-5.4999999997562554E-4</v>
      </c>
      <c r="O111" s="97">
        <f>312.16321-312.16324</f>
        <v>-2.99999999811007E-5</v>
      </c>
      <c r="P111" s="97">
        <f>312.16281-312.16324</f>
        <v>-4.2999999999437932E-4</v>
      </c>
      <c r="Q111" s="97">
        <f>312.16351-312.16324</f>
        <v>2.7000000000043656E-4</v>
      </c>
      <c r="R111" s="97">
        <f>312.1626-312.16324</f>
        <v>-6.3999999997577106E-4</v>
      </c>
      <c r="S111" s="97">
        <f>312.16281-312.16324</f>
        <v>-4.2999999999437932E-4</v>
      </c>
      <c r="T111" s="97">
        <f>312.16299-312.16324</f>
        <v>-2.4999999999408828E-4</v>
      </c>
      <c r="U111" s="97">
        <f>312.16309-312.16324</f>
        <v>-1.4999999996234692E-4</v>
      </c>
      <c r="V111" s="97">
        <f>312.16309-312.16324</f>
        <v>-1.4999999996234692E-4</v>
      </c>
      <c r="W111" s="101">
        <f>312.1629-312.16324</f>
        <v>-3.399999999942338E-4</v>
      </c>
      <c r="X111" s="101">
        <f>312.16281-312.16324</f>
        <v>-4.2999999999437932E-4</v>
      </c>
      <c r="Y111" s="101" t="s">
        <v>3</v>
      </c>
      <c r="Z111" s="98" t="s">
        <v>3</v>
      </c>
      <c r="AA111" s="99">
        <f>312.16309-312.16324</f>
        <v>-1.4999999996234692E-4</v>
      </c>
      <c r="AB111" s="99" t="s">
        <v>3</v>
      </c>
      <c r="AC111" s="100">
        <f>312.16281-312.16324</f>
        <v>-4.2999999999437932E-4</v>
      </c>
      <c r="AD111" s="100" t="s">
        <v>3</v>
      </c>
      <c r="AE111" s="104" t="s">
        <v>3</v>
      </c>
      <c r="AF111" s="104" t="s">
        <v>3</v>
      </c>
      <c r="AG111" s="104" t="s">
        <v>3</v>
      </c>
      <c r="AH111" s="104" t="s">
        <v>3</v>
      </c>
      <c r="AI111" s="105" t="s">
        <v>3</v>
      </c>
      <c r="AJ111" s="105" t="s">
        <v>3</v>
      </c>
      <c r="AK111" s="105" t="s">
        <v>3</v>
      </c>
      <c r="AL111" s="105" t="s">
        <v>3</v>
      </c>
      <c r="AM111" s="105" t="s">
        <v>3</v>
      </c>
      <c r="AN111" s="111">
        <f>311.154690050472-311.155418</f>
        <v>-7.2794952797039514E-4</v>
      </c>
      <c r="AO111" s="106" t="s">
        <v>3</v>
      </c>
      <c r="AP111" s="106" t="s">
        <v>3</v>
      </c>
      <c r="AQ111" s="106" t="s">
        <v>3</v>
      </c>
      <c r="AR111" s="106" t="s">
        <v>3</v>
      </c>
      <c r="AS111" s="107" t="s">
        <v>3</v>
      </c>
      <c r="AT111" s="107" t="s">
        <v>3</v>
      </c>
      <c r="AU111" s="107" t="s">
        <v>3</v>
      </c>
      <c r="AV111" s="107" t="s">
        <v>3</v>
      </c>
      <c r="AW111" s="108" t="s">
        <v>3</v>
      </c>
      <c r="AX111" s="108" t="s">
        <v>3</v>
      </c>
      <c r="AY111" s="109" t="s">
        <v>3</v>
      </c>
      <c r="AZ111" s="109" t="s">
        <v>3</v>
      </c>
      <c r="BA111" s="123" t="s">
        <v>3</v>
      </c>
    </row>
    <row r="112" spans="1:53" x14ac:dyDescent="0.25">
      <c r="A112" s="38">
        <v>109</v>
      </c>
      <c r="B112" s="139" t="s">
        <v>112</v>
      </c>
      <c r="C112" s="38" t="s">
        <v>138</v>
      </c>
      <c r="D112" s="38" t="s">
        <v>229</v>
      </c>
      <c r="E112" s="48">
        <v>339.15033299999999</v>
      </c>
      <c r="F112" s="102" t="s">
        <v>3</v>
      </c>
      <c r="G112" s="102" t="s">
        <v>3</v>
      </c>
      <c r="H112" s="102" t="s">
        <v>3</v>
      </c>
      <c r="I112" s="103" t="s">
        <v>3</v>
      </c>
      <c r="J112" s="103" t="s">
        <v>3</v>
      </c>
      <c r="K112" s="116" t="s">
        <v>3</v>
      </c>
      <c r="L112" s="97" t="s">
        <v>3</v>
      </c>
      <c r="M112" s="97">
        <f>339.15039-339.15033</f>
        <v>6.0000000019044819E-5</v>
      </c>
      <c r="N112" s="97">
        <f>339.15051-339.15033</f>
        <v>1.8000000000029104E-4</v>
      </c>
      <c r="O112" s="97">
        <f>339.15009-339.15033</f>
        <v>-2.4000000001933586E-4</v>
      </c>
      <c r="P112" s="97">
        <f>339.1514-339.15033</f>
        <v>1.0700000000269938E-3</v>
      </c>
      <c r="Q112" s="97">
        <f>339.15091-339.15033</f>
        <v>5.8000000001356966E-4</v>
      </c>
      <c r="R112" s="97">
        <f>339.15039-339.15033</f>
        <v>6.0000000019044819E-5</v>
      </c>
      <c r="S112" s="97">
        <f>339.15091-339.15033</f>
        <v>5.8000000001356966E-4</v>
      </c>
      <c r="T112" s="97" t="s">
        <v>3</v>
      </c>
      <c r="U112" s="97">
        <f>339.15179-339.15033</f>
        <v>1.4600000000086766E-3</v>
      </c>
      <c r="V112" s="97">
        <f>339.15051-339.15033</f>
        <v>1.8000000000029104E-4</v>
      </c>
      <c r="W112" s="101" t="s">
        <v>3</v>
      </c>
      <c r="X112" s="101" t="s">
        <v>3</v>
      </c>
      <c r="Y112" s="101" t="s">
        <v>3</v>
      </c>
      <c r="Z112" s="98" t="s">
        <v>3</v>
      </c>
      <c r="AA112" s="99" t="s">
        <v>3</v>
      </c>
      <c r="AB112" s="99" t="s">
        <v>3</v>
      </c>
      <c r="AC112" s="100" t="s">
        <v>3</v>
      </c>
      <c r="AD112" s="100" t="s">
        <v>3</v>
      </c>
      <c r="AE112" s="104">
        <f>339.14925-E112</f>
        <v>-1.082999999994172E-3</v>
      </c>
      <c r="AF112" s="104">
        <f>339.15074-E112</f>
        <v>4.0699999999560532E-4</v>
      </c>
      <c r="AG112" s="104" t="s">
        <v>3</v>
      </c>
      <c r="AH112" s="104" t="s">
        <v>3</v>
      </c>
      <c r="AI112" s="105" t="s">
        <v>3</v>
      </c>
      <c r="AJ112" s="105" t="s">
        <v>3</v>
      </c>
      <c r="AK112" s="105" t="s">
        <v>3</v>
      </c>
      <c r="AL112" s="105">
        <v>1.9610000000000001E-3</v>
      </c>
      <c r="AM112" s="105" t="s">
        <v>3</v>
      </c>
      <c r="AN112" s="106" t="s">
        <v>3</v>
      </c>
      <c r="AO112" s="106" t="s">
        <v>3</v>
      </c>
      <c r="AP112" s="106" t="s">
        <v>3</v>
      </c>
      <c r="AQ112" s="106" t="s">
        <v>3</v>
      </c>
      <c r="AR112" s="106" t="s">
        <v>3</v>
      </c>
      <c r="AS112" s="107" t="s">
        <v>3</v>
      </c>
      <c r="AT112" s="107" t="s">
        <v>3</v>
      </c>
      <c r="AU112" s="107" t="s">
        <v>3</v>
      </c>
      <c r="AV112" s="107" t="s">
        <v>3</v>
      </c>
      <c r="AW112" s="108" t="s">
        <v>3</v>
      </c>
      <c r="AX112" s="108" t="s">
        <v>3</v>
      </c>
      <c r="AY112" s="109" t="s">
        <v>3</v>
      </c>
      <c r="AZ112" s="109" t="s">
        <v>3</v>
      </c>
      <c r="BA112" s="123">
        <v>-5.6299999999964712E-4</v>
      </c>
    </row>
    <row r="113" spans="1:53" x14ac:dyDescent="0.25">
      <c r="A113" s="38">
        <v>110</v>
      </c>
      <c r="B113" s="139" t="s">
        <v>113</v>
      </c>
      <c r="C113" s="38" t="s">
        <v>138</v>
      </c>
      <c r="D113" s="38" t="s">
        <v>230</v>
      </c>
      <c r="E113" s="48">
        <v>267.17031900000001</v>
      </c>
      <c r="F113" s="102">
        <v>-6.7000000000000002E-5</v>
      </c>
      <c r="G113" s="102">
        <v>1.1410000000000001E-3</v>
      </c>
      <c r="H113" s="102">
        <f>(267.17221-E113)</f>
        <v>1.8910000000005311E-3</v>
      </c>
      <c r="I113" s="103" t="s">
        <v>3</v>
      </c>
      <c r="J113" s="103" t="s">
        <v>3</v>
      </c>
      <c r="K113" s="116" t="s">
        <v>3</v>
      </c>
      <c r="L113" s="97" t="s">
        <v>3</v>
      </c>
      <c r="M113" s="97">
        <f>267.1698-267.17032</f>
        <v>-5.1999999999452484E-4</v>
      </c>
      <c r="N113" s="97">
        <f>267.1705-267.17032</f>
        <v>1.8000000000029104E-4</v>
      </c>
      <c r="O113" s="97">
        <f>267.17029-267.17032</f>
        <v>-2.99999999811007E-5</v>
      </c>
      <c r="P113" s="97">
        <f>267.17041-267.17032</f>
        <v>9.0000000000145519E-5</v>
      </c>
      <c r="Q113" s="97">
        <f>267.17068-267.17032</f>
        <v>3.6000000000058208E-4</v>
      </c>
      <c r="R113" s="97">
        <f>267.17059-267.17032</f>
        <v>2.7000000000043656E-4</v>
      </c>
      <c r="S113" s="97">
        <f>267.16959-267.17032</f>
        <v>-7.2999999997591658E-4</v>
      </c>
      <c r="T113" s="97">
        <f>267.17041-267.17032</f>
        <v>9.0000000000145519E-5</v>
      </c>
      <c r="U113" s="97">
        <f>267.17041-267.17032</f>
        <v>9.0000000000145519E-5</v>
      </c>
      <c r="V113" s="97">
        <f>267.17041-267.17032</f>
        <v>9.0000000000145519E-5</v>
      </c>
      <c r="W113" s="101">
        <f>267.1705-267.17032</f>
        <v>1.8000000000029104E-4</v>
      </c>
      <c r="X113" s="101">
        <f>267.1705-267.17032</f>
        <v>1.8000000000029104E-4</v>
      </c>
      <c r="Y113" s="101" t="s">
        <v>3</v>
      </c>
      <c r="Z113" s="98" t="s">
        <v>3</v>
      </c>
      <c r="AA113" s="99">
        <f>267.17029-267.17032</f>
        <v>-2.99999999811007E-5</v>
      </c>
      <c r="AB113" s="99" t="s">
        <v>3</v>
      </c>
      <c r="AC113" s="100" t="s">
        <v>3</v>
      </c>
      <c r="AD113" s="100" t="s">
        <v>3</v>
      </c>
      <c r="AE113" s="104">
        <f>267.17066-E113</f>
        <v>3.4099999999170905E-4</v>
      </c>
      <c r="AF113" s="104">
        <f>267.17103-E113</f>
        <v>7.1099999996704355E-4</v>
      </c>
      <c r="AG113" s="104" t="s">
        <v>3</v>
      </c>
      <c r="AH113" s="104" t="s">
        <v>3</v>
      </c>
      <c r="AI113" s="105" t="s">
        <v>3</v>
      </c>
      <c r="AJ113" s="105">
        <v>4.8299999999999998E-4</v>
      </c>
      <c r="AK113" s="105">
        <v>8.0400000000000003E-4</v>
      </c>
      <c r="AL113" s="105">
        <v>8.1000000000000004E-5</v>
      </c>
      <c r="AM113" s="105" t="s">
        <v>3</v>
      </c>
      <c r="AN113" s="106" t="s">
        <v>3</v>
      </c>
      <c r="AO113" s="106" t="s">
        <v>3</v>
      </c>
      <c r="AP113" s="106" t="s">
        <v>3</v>
      </c>
      <c r="AQ113" s="106" t="s">
        <v>3</v>
      </c>
      <c r="AR113" s="106" t="s">
        <v>3</v>
      </c>
      <c r="AS113" s="107" t="s">
        <v>3</v>
      </c>
      <c r="AT113" s="107">
        <f>267.1694-E113</f>
        <v>-9.1900000001032822E-4</v>
      </c>
      <c r="AU113" s="107" t="s">
        <v>3</v>
      </c>
      <c r="AV113" s="107">
        <f>267.1731-E113</f>
        <v>2.7809999999703905E-3</v>
      </c>
      <c r="AW113" s="108" t="s">
        <v>3</v>
      </c>
      <c r="AX113" s="108" t="s">
        <v>3</v>
      </c>
      <c r="AY113" s="109">
        <v>7.0999999991272489E-5</v>
      </c>
      <c r="AZ113" s="109">
        <v>1.0090000000104737E-3</v>
      </c>
      <c r="BA113" s="123">
        <v>3.1100000001060835E-4</v>
      </c>
    </row>
    <row r="114" spans="1:53" x14ac:dyDescent="0.25">
      <c r="A114" s="38">
        <v>111</v>
      </c>
      <c r="B114" s="139" t="s">
        <v>121</v>
      </c>
      <c r="C114" s="38" t="s">
        <v>138</v>
      </c>
      <c r="D114" s="38" t="s">
        <v>231</v>
      </c>
      <c r="E114" s="48">
        <v>268.19072</v>
      </c>
      <c r="F114" s="102" t="s">
        <v>3</v>
      </c>
      <c r="G114" s="102" t="s">
        <v>3</v>
      </c>
      <c r="H114" s="102" t="s">
        <v>3</v>
      </c>
      <c r="I114" s="103" t="s">
        <v>3</v>
      </c>
      <c r="J114" s="103" t="s">
        <v>3</v>
      </c>
      <c r="K114" s="116">
        <f>268.18991-268.1907</f>
        <v>-7.899999999949614E-4</v>
      </c>
      <c r="L114" s="97" t="s">
        <v>3</v>
      </c>
      <c r="M114" s="97">
        <f>268.19089-268.1907</f>
        <v>1.9000000003188688E-4</v>
      </c>
      <c r="N114" s="97">
        <f>268.19089-268.1907</f>
        <v>1.9000000003188688E-4</v>
      </c>
      <c r="O114" s="97">
        <f>268.1907-268.1907</f>
        <v>0</v>
      </c>
      <c r="P114" s="97">
        <f>268.19089-268.1907</f>
        <v>1.9000000003188688E-4</v>
      </c>
      <c r="Q114" s="97">
        <f>268.19131-268.1907</f>
        <v>6.0999999999467036E-4</v>
      </c>
      <c r="R114" s="97">
        <f>268.19101-268.1907</f>
        <v>3.100000000131331E-4</v>
      </c>
      <c r="S114" s="97">
        <f>268.1907-268.1907</f>
        <v>0</v>
      </c>
      <c r="T114" s="97">
        <f>268.1904-268.1907</f>
        <v>-2.9999999998153726E-4</v>
      </c>
      <c r="U114" s="97">
        <f>268.19089-268.1907</f>
        <v>1.9000000003188688E-4</v>
      </c>
      <c r="V114" s="97">
        <f>268.19101-268.1907</f>
        <v>3.100000000131331E-4</v>
      </c>
      <c r="W114" s="101">
        <f>268.1908-268.1907</f>
        <v>1.0000000003174137E-4</v>
      </c>
      <c r="X114" s="101">
        <f>268.19089-268.1907</f>
        <v>1.9000000003188688E-4</v>
      </c>
      <c r="Y114" s="101" t="s">
        <v>3</v>
      </c>
      <c r="Z114" s="98">
        <f>268.19131-268.1907</f>
        <v>6.0999999999467036E-4</v>
      </c>
      <c r="AA114" s="99">
        <f>268.1908-268.1907</f>
        <v>1.0000000003174137E-4</v>
      </c>
      <c r="AB114" s="99" t="s">
        <v>3</v>
      </c>
      <c r="AC114" s="100">
        <f>268.19061-268.1907</f>
        <v>-9.0000000000145519E-5</v>
      </c>
      <c r="AD114" s="100" t="s">
        <v>3</v>
      </c>
      <c r="AE114" s="104">
        <f>268.19089-E114</f>
        <v>1.7000000002553861E-4</v>
      </c>
      <c r="AF114" s="104">
        <f>268.19135-E114</f>
        <v>6.3000000000101863E-4</v>
      </c>
      <c r="AG114" s="104">
        <f>268.19135-E114</f>
        <v>6.3000000000101863E-4</v>
      </c>
      <c r="AH114" s="104" t="s">
        <v>3</v>
      </c>
      <c r="AI114" s="105">
        <f>268.19061-268.19072</f>
        <v>-1.1000000000649379E-4</v>
      </c>
      <c r="AJ114" s="105">
        <f>268.19-268.19072</f>
        <v>-7.2000000000116415E-4</v>
      </c>
      <c r="AK114" s="105">
        <f>268.19061-268.19072</f>
        <v>-1.1000000000649379E-4</v>
      </c>
      <c r="AL114" s="105">
        <f>268.19089-268.19072</f>
        <v>1.7000000002553861E-4</v>
      </c>
      <c r="AM114" s="105" t="s">
        <v>3</v>
      </c>
      <c r="AN114" s="111">
        <f>268.19013692871-E114</f>
        <v>-5.8307129000922941E-4</v>
      </c>
      <c r="AO114" s="106" t="s">
        <v>3</v>
      </c>
      <c r="AP114" s="106" t="s">
        <v>3</v>
      </c>
      <c r="AQ114" s="106" t="s">
        <v>3</v>
      </c>
      <c r="AR114" s="106" t="s">
        <v>3</v>
      </c>
      <c r="AS114" s="107" t="s">
        <v>3</v>
      </c>
      <c r="AT114" s="107">
        <f>268.1897-E114</f>
        <v>-1.0199999999827014E-3</v>
      </c>
      <c r="AU114" s="107" t="s">
        <v>3</v>
      </c>
      <c r="AV114" s="107">
        <f>268.19101-E114</f>
        <v>2.9000000000678483E-4</v>
      </c>
      <c r="AW114" s="108" t="s">
        <v>3</v>
      </c>
      <c r="AX114" s="108" t="s">
        <v>3</v>
      </c>
      <c r="AY114" s="109" t="s">
        <v>3</v>
      </c>
      <c r="AZ114" s="109">
        <v>9.0799999998125713E-4</v>
      </c>
      <c r="BA114" s="123">
        <v>4.5999999997548002E-4</v>
      </c>
    </row>
    <row r="115" spans="1:53" x14ac:dyDescent="0.25">
      <c r="A115" s="38">
        <v>112</v>
      </c>
      <c r="B115" s="139" t="s">
        <v>104</v>
      </c>
      <c r="C115" s="38" t="s">
        <v>138</v>
      </c>
      <c r="D115" s="38" t="s">
        <v>232</v>
      </c>
      <c r="E115" s="48">
        <v>268.154335</v>
      </c>
      <c r="F115" s="102" t="s">
        <v>3</v>
      </c>
      <c r="G115" s="102" t="s">
        <v>3</v>
      </c>
      <c r="H115" s="102" t="s">
        <v>3</v>
      </c>
      <c r="I115" s="103" t="s">
        <v>3</v>
      </c>
      <c r="J115" s="103" t="s">
        <v>3</v>
      </c>
      <c r="K115" s="116" t="s">
        <v>3</v>
      </c>
      <c r="L115" s="97" t="s">
        <v>3</v>
      </c>
      <c r="M115" s="97">
        <f>268.1539-268.15434</f>
        <v>-4.3999999996913175E-4</v>
      </c>
      <c r="N115" s="97">
        <f>268.15439-268.15434</f>
        <v>4.9999999987448973E-5</v>
      </c>
      <c r="O115" s="97">
        <f>268.15439-268.15434</f>
        <v>4.9999999987448973E-5</v>
      </c>
      <c r="P115" s="97">
        <f>268.15439-268.15434</f>
        <v>4.9999999987448973E-5</v>
      </c>
      <c r="Q115" s="97">
        <f>268.15411-268.15434</f>
        <v>-2.2999999998774001E-4</v>
      </c>
      <c r="R115" s="97">
        <f>268.15399-268.15434</f>
        <v>-3.4999999996898623E-4</v>
      </c>
      <c r="S115" s="97">
        <f>268.1543-268.15434</f>
        <v>-4.0000000012696546E-5</v>
      </c>
      <c r="T115" s="97">
        <f>268.15451-268.15434</f>
        <v>1.7000000002553861E-4</v>
      </c>
      <c r="U115" s="97">
        <f>268.15439-268.15434</f>
        <v>4.9999999987448973E-5</v>
      </c>
      <c r="V115" s="97">
        <f>268.15399-268.15434</f>
        <v>-3.4999999996898623E-4</v>
      </c>
      <c r="W115" s="101">
        <f>268.15439-268.15434</f>
        <v>4.9999999987448973E-5</v>
      </c>
      <c r="X115" s="101">
        <f>268.1546-268.15434</f>
        <v>2.6000000002568413E-4</v>
      </c>
      <c r="Y115" s="101" t="s">
        <v>3</v>
      </c>
      <c r="Z115" s="98">
        <f>268.155-268.15434</f>
        <v>6.5999999998211933E-4</v>
      </c>
      <c r="AA115" s="99">
        <f>268.1543-268.15434</f>
        <v>-4.0000000012696546E-5</v>
      </c>
      <c r="AB115" s="99" t="s">
        <v>3</v>
      </c>
      <c r="AC115" s="100">
        <f>268.15421-268.15434</f>
        <v>-1.3000000001284207E-4</v>
      </c>
      <c r="AD115" s="100" t="s">
        <v>3</v>
      </c>
      <c r="AE115" s="104">
        <f>268.15455-E115</f>
        <v>2.1499999996876795E-4</v>
      </c>
      <c r="AF115" s="104">
        <f>268.15485-E115</f>
        <v>5.1500000000714863E-4</v>
      </c>
      <c r="AG115" s="104">
        <f>268.15319-E115</f>
        <v>-1.1450000000081673E-3</v>
      </c>
      <c r="AH115" s="104" t="s">
        <v>3</v>
      </c>
      <c r="AI115" s="105">
        <v>5.8200000000000005E-4</v>
      </c>
      <c r="AJ115" s="105">
        <v>3.9599999999999998E-4</v>
      </c>
      <c r="AK115" s="105">
        <v>7.6099999999999996E-4</v>
      </c>
      <c r="AL115" s="105">
        <v>6.0700000000000001E-4</v>
      </c>
      <c r="AM115" s="105" t="s">
        <v>3</v>
      </c>
      <c r="AN115" s="106" t="s">
        <v>3</v>
      </c>
      <c r="AO115" s="106" t="s">
        <v>3</v>
      </c>
      <c r="AP115" s="106" t="s">
        <v>3</v>
      </c>
      <c r="AQ115" s="106" t="s">
        <v>3</v>
      </c>
      <c r="AR115" s="106" t="s">
        <v>3</v>
      </c>
      <c r="AS115" s="107">
        <f>268.1553-E115</f>
        <v>9.6500000000787622E-4</v>
      </c>
      <c r="AT115" s="107">
        <f>268.15259-E115</f>
        <v>-1.7450000000280852E-3</v>
      </c>
      <c r="AU115" s="107">
        <f>268.15369-E115</f>
        <v>-6.4500000001999069E-4</v>
      </c>
      <c r="AV115" s="107">
        <f>268.1539-E115</f>
        <v>-4.3499999998175554E-4</v>
      </c>
      <c r="AW115" s="108" t="s">
        <v>3</v>
      </c>
      <c r="AX115" s="108" t="s">
        <v>3</v>
      </c>
      <c r="AY115" s="109" t="s">
        <v>3</v>
      </c>
      <c r="AZ115" s="109" t="s">
        <v>3</v>
      </c>
      <c r="BA115" s="123" t="s">
        <v>3</v>
      </c>
    </row>
    <row r="116" spans="1:53" x14ac:dyDescent="0.25">
      <c r="A116" s="38">
        <v>113</v>
      </c>
      <c r="B116" s="139" t="s">
        <v>114</v>
      </c>
      <c r="C116" s="38" t="s">
        <v>138</v>
      </c>
      <c r="D116" s="38" t="s">
        <v>233</v>
      </c>
      <c r="E116" s="48">
        <v>216.10104999999999</v>
      </c>
      <c r="F116" s="102" t="s">
        <v>3</v>
      </c>
      <c r="G116" s="102" t="s">
        <v>3</v>
      </c>
      <c r="H116" s="102" t="s">
        <v>3</v>
      </c>
      <c r="I116" s="103" t="s">
        <v>3</v>
      </c>
      <c r="J116" s="103" t="s">
        <v>3</v>
      </c>
      <c r="K116" s="116" t="s">
        <v>3</v>
      </c>
      <c r="L116" s="97" t="s">
        <v>3</v>
      </c>
      <c r="M116" s="97">
        <f>216.1012-216.10105</f>
        <v>1.5000000001919034E-4</v>
      </c>
      <c r="N116" s="97">
        <f>216.1013-216.10105</f>
        <v>2.5000000002250999E-4</v>
      </c>
      <c r="O116" s="97">
        <f>216.1011-216.10105</f>
        <v>5.0000000015870683E-5</v>
      </c>
      <c r="P116" s="97" t="s">
        <v>3</v>
      </c>
      <c r="Q116" s="97" t="s">
        <v>3</v>
      </c>
      <c r="R116" s="97" t="s">
        <v>3</v>
      </c>
      <c r="S116" s="97" t="s">
        <v>3</v>
      </c>
      <c r="T116" s="97" t="s">
        <v>3</v>
      </c>
      <c r="U116" s="97" t="s">
        <v>3</v>
      </c>
      <c r="V116" s="97" t="s">
        <v>3</v>
      </c>
      <c r="W116" s="101">
        <f>216.1012-216.10105</f>
        <v>1.5000000001919034E-4</v>
      </c>
      <c r="X116" s="101">
        <f>216.1013-216.10105</f>
        <v>2.5000000002250999E-4</v>
      </c>
      <c r="Y116" s="101" t="s">
        <v>3</v>
      </c>
      <c r="Z116" s="98">
        <f>216.1017-216.10105</f>
        <v>6.5000000000736691E-4</v>
      </c>
      <c r="AA116" s="99">
        <f>216.1013-216.10105</f>
        <v>2.5000000002250999E-4</v>
      </c>
      <c r="AB116" s="99" t="s">
        <v>3</v>
      </c>
      <c r="AC116" s="100">
        <f>216.10091-216.10105</f>
        <v>-1.3999999998759449E-4</v>
      </c>
      <c r="AD116" s="100" t="s">
        <v>3</v>
      </c>
      <c r="AE116" s="104" t="s">
        <v>3</v>
      </c>
      <c r="AF116" s="104" t="s">
        <v>3</v>
      </c>
      <c r="AG116" s="104" t="s">
        <v>3</v>
      </c>
      <c r="AH116" s="104" t="s">
        <v>3</v>
      </c>
      <c r="AI116" s="105" t="s">
        <v>3</v>
      </c>
      <c r="AJ116" s="105" t="s">
        <v>3</v>
      </c>
      <c r="AK116" s="105" t="s">
        <v>3</v>
      </c>
      <c r="AL116" s="105" t="s">
        <v>3</v>
      </c>
      <c r="AM116" s="105" t="s">
        <v>3</v>
      </c>
      <c r="AN116" s="106" t="s">
        <v>3</v>
      </c>
      <c r="AO116" s="106" t="s">
        <v>3</v>
      </c>
      <c r="AP116" s="106" t="s">
        <v>3</v>
      </c>
      <c r="AQ116" s="106" t="s">
        <v>3</v>
      </c>
      <c r="AR116" s="106" t="s">
        <v>3</v>
      </c>
      <c r="AS116" s="107" t="s">
        <v>3</v>
      </c>
      <c r="AT116" s="107" t="s">
        <v>3</v>
      </c>
      <c r="AU116" s="107" t="s">
        <v>3</v>
      </c>
      <c r="AV116" s="107" t="s">
        <v>3</v>
      </c>
      <c r="AW116" s="108" t="s">
        <v>3</v>
      </c>
      <c r="AX116" s="108" t="s">
        <v>3</v>
      </c>
      <c r="AY116" s="109" t="s">
        <v>3</v>
      </c>
      <c r="AZ116" s="109" t="s">
        <v>3</v>
      </c>
      <c r="BA116" s="123" t="s">
        <v>3</v>
      </c>
    </row>
    <row r="117" spans="1:53" x14ac:dyDescent="0.25">
      <c r="A117" s="38">
        <v>114</v>
      </c>
      <c r="B117" s="139" t="s">
        <v>1</v>
      </c>
      <c r="C117" s="38" t="s">
        <v>138</v>
      </c>
      <c r="D117" s="38" t="s">
        <v>234</v>
      </c>
      <c r="E117" s="48">
        <v>198.13493700000001</v>
      </c>
      <c r="F117" s="102" t="s">
        <v>3</v>
      </c>
      <c r="G117" s="102" t="s">
        <v>3</v>
      </c>
      <c r="H117" s="102" t="s">
        <v>3</v>
      </c>
      <c r="I117" s="103" t="s">
        <v>3</v>
      </c>
      <c r="J117" s="103" t="s">
        <v>3</v>
      </c>
      <c r="K117" s="116" t="s">
        <v>3</v>
      </c>
      <c r="L117" s="97" t="s">
        <v>3</v>
      </c>
      <c r="M117" s="97">
        <f>198.1349-198.1349</f>
        <v>0</v>
      </c>
      <c r="N117" s="97">
        <f>198.1349-198.1349</f>
        <v>0</v>
      </c>
      <c r="O117" s="97" t="s">
        <v>3</v>
      </c>
      <c r="P117" s="97" t="s">
        <v>3</v>
      </c>
      <c r="Q117" s="97">
        <f>198.1348-198.1349</f>
        <v>-9.9999999974897946E-5</v>
      </c>
      <c r="R117" s="97" t="s">
        <v>3</v>
      </c>
      <c r="S117" s="97" t="s">
        <v>3</v>
      </c>
      <c r="T117" s="97">
        <f>198.1348-198.1349</f>
        <v>-9.9999999974897946E-5</v>
      </c>
      <c r="U117" s="97" t="s">
        <v>3</v>
      </c>
      <c r="V117" s="97">
        <f>198.1349-198.1349</f>
        <v>0</v>
      </c>
      <c r="W117" s="101">
        <f>198.13499-198.1349</f>
        <v>9.0000000000145519E-5</v>
      </c>
      <c r="X117" s="101">
        <f>198.13499-198.1349</f>
        <v>9.0000000000145519E-5</v>
      </c>
      <c r="Y117" s="101" t="s">
        <v>3</v>
      </c>
      <c r="Z117" s="98">
        <f>198.1355-198.1349</f>
        <v>6.0000000001991793E-4</v>
      </c>
      <c r="AA117" s="99">
        <f>198.13499-198.1349</f>
        <v>9.0000000000145519E-5</v>
      </c>
      <c r="AB117" s="99" t="s">
        <v>3</v>
      </c>
      <c r="AC117" s="100">
        <f>198.1348-198.1349</f>
        <v>-9.9999999974897946E-5</v>
      </c>
      <c r="AD117" s="100" t="s">
        <v>3</v>
      </c>
      <c r="AE117" s="104" t="s">
        <v>3</v>
      </c>
      <c r="AF117" s="104" t="s">
        <v>3</v>
      </c>
      <c r="AG117" s="104">
        <f>198.13329-E117</f>
        <v>-1.647000000019716E-3</v>
      </c>
      <c r="AH117" s="104">
        <f>198.13309-E117</f>
        <v>-1.8469999999979336E-3</v>
      </c>
      <c r="AI117" s="105">
        <v>-2.2800000000000001E-4</v>
      </c>
      <c r="AJ117" s="105" t="s">
        <v>3</v>
      </c>
      <c r="AK117" s="105" t="s">
        <v>3</v>
      </c>
      <c r="AL117" s="105" t="s">
        <v>3</v>
      </c>
      <c r="AM117" s="105" t="s">
        <v>3</v>
      </c>
      <c r="AN117" s="106" t="s">
        <v>3</v>
      </c>
      <c r="AO117" s="106" t="s">
        <v>3</v>
      </c>
      <c r="AP117" s="106" t="s">
        <v>3</v>
      </c>
      <c r="AQ117" s="106" t="s">
        <v>3</v>
      </c>
      <c r="AR117" s="106" t="s">
        <v>3</v>
      </c>
      <c r="AS117" s="107">
        <f>198.1347-E117</f>
        <v>-2.3699999999848842E-4</v>
      </c>
      <c r="AT117" s="107">
        <f>198.1339-E117</f>
        <v>-1.036999999996624E-3</v>
      </c>
      <c r="AU117" s="107">
        <f>198.1337-E117</f>
        <v>-1.2370000000032633E-3</v>
      </c>
      <c r="AV117" s="107">
        <f>198.1347-E117</f>
        <v>-2.3699999999848842E-4</v>
      </c>
      <c r="AW117" s="108" t="s">
        <v>3</v>
      </c>
      <c r="AX117" s="108" t="s">
        <v>3</v>
      </c>
      <c r="AY117" s="109" t="s">
        <v>3</v>
      </c>
      <c r="AZ117" s="109" t="s">
        <v>3</v>
      </c>
      <c r="BA117" s="123" t="s">
        <v>3</v>
      </c>
    </row>
    <row r="118" spans="1:53" x14ac:dyDescent="0.25">
      <c r="A118" s="38">
        <v>115</v>
      </c>
      <c r="B118" s="139" t="s">
        <v>1</v>
      </c>
      <c r="C118" s="38" t="s">
        <v>139</v>
      </c>
      <c r="D118" s="38" t="s">
        <v>234</v>
      </c>
      <c r="E118" s="48">
        <v>196.120384</v>
      </c>
      <c r="F118" s="102" t="s">
        <v>564</v>
      </c>
      <c r="G118" s="102" t="s">
        <v>564</v>
      </c>
      <c r="H118" s="102" t="s">
        <v>564</v>
      </c>
      <c r="I118" s="103" t="s">
        <v>3</v>
      </c>
      <c r="J118" s="103" t="s">
        <v>3</v>
      </c>
      <c r="K118" s="116" t="s">
        <v>3</v>
      </c>
      <c r="L118" s="97" t="s">
        <v>3</v>
      </c>
      <c r="M118" s="97">
        <f>196.1201-196.12038</f>
        <v>-2.8000000000361069E-4</v>
      </c>
      <c r="N118" s="97">
        <f>196.1198-196.12038</f>
        <v>-5.8000000001356966E-4</v>
      </c>
      <c r="O118" s="97">
        <f>196.12-196.12038</f>
        <v>-3.8000000000693035E-4</v>
      </c>
      <c r="P118" s="97">
        <f>196.12019-196.12038</f>
        <v>-1.9000000000346517E-4</v>
      </c>
      <c r="Q118" s="97">
        <f>196.1201-196.12038</f>
        <v>-2.8000000000361069E-4</v>
      </c>
      <c r="R118" s="97">
        <f>196.1201-196.12038</f>
        <v>-2.8000000000361069E-4</v>
      </c>
      <c r="S118" s="97">
        <f>196.1203-196.12038</f>
        <v>-8.0000000025393092E-5</v>
      </c>
      <c r="T118" s="97">
        <f>196.1203-196.12038</f>
        <v>-8.0000000025393092E-5</v>
      </c>
      <c r="U118" s="97">
        <f>196.12019-196.12038</f>
        <v>-1.9000000000346517E-4</v>
      </c>
      <c r="V118" s="97">
        <f>196.12019-196.12038</f>
        <v>-1.9000000000346517E-4</v>
      </c>
      <c r="W118" s="101" t="s">
        <v>564</v>
      </c>
      <c r="X118" s="101" t="s">
        <v>564</v>
      </c>
      <c r="Y118" s="101" t="s">
        <v>564</v>
      </c>
      <c r="Z118" s="98" t="s">
        <v>3</v>
      </c>
      <c r="AA118" s="99">
        <f>196.1203-196.12038</f>
        <v>-8.0000000025393092E-5</v>
      </c>
      <c r="AB118" s="99" t="s">
        <v>3</v>
      </c>
      <c r="AC118" s="100">
        <f>196.12041-196.12038</f>
        <v>2.99999999811007E-5</v>
      </c>
      <c r="AD118" s="100" t="s">
        <v>3</v>
      </c>
      <c r="AE118" s="104" t="s">
        <v>3</v>
      </c>
      <c r="AF118" s="104" t="s">
        <v>3</v>
      </c>
      <c r="AG118" s="104" t="s">
        <v>3</v>
      </c>
      <c r="AH118" s="104" t="s">
        <v>3</v>
      </c>
      <c r="AI118" s="105" t="s">
        <v>3</v>
      </c>
      <c r="AJ118" s="105" t="s">
        <v>564</v>
      </c>
      <c r="AK118" s="105" t="s">
        <v>3</v>
      </c>
      <c r="AL118" s="105" t="s">
        <v>3</v>
      </c>
      <c r="AM118" s="105" t="s">
        <v>564</v>
      </c>
      <c r="AN118" s="106" t="s">
        <v>564</v>
      </c>
      <c r="AO118" s="106" t="s">
        <v>564</v>
      </c>
      <c r="AP118" s="106" t="s">
        <v>564</v>
      </c>
      <c r="AQ118" s="106" t="s">
        <v>564</v>
      </c>
      <c r="AR118" s="106" t="s">
        <v>564</v>
      </c>
      <c r="AS118" s="107" t="s">
        <v>3</v>
      </c>
      <c r="AT118" s="107" t="s">
        <v>3</v>
      </c>
      <c r="AU118" s="107" t="s">
        <v>3</v>
      </c>
      <c r="AV118" s="107" t="s">
        <v>3</v>
      </c>
      <c r="AW118" s="108" t="s">
        <v>3</v>
      </c>
      <c r="AX118" s="108" t="s">
        <v>3</v>
      </c>
      <c r="AY118" s="109" t="s">
        <v>3</v>
      </c>
      <c r="AZ118" s="109" t="s">
        <v>3</v>
      </c>
      <c r="BA118" s="123" t="s">
        <v>3</v>
      </c>
    </row>
    <row r="119" spans="1:53" x14ac:dyDescent="0.25">
      <c r="A119" s="38">
        <v>116</v>
      </c>
      <c r="B119" s="139" t="s">
        <v>49</v>
      </c>
      <c r="C119" s="38" t="s">
        <v>138</v>
      </c>
      <c r="D119" s="38" t="s">
        <v>235</v>
      </c>
      <c r="E119" s="48">
        <v>296.02395999999999</v>
      </c>
      <c r="F119" s="102">
        <v>-1.2499999999704414E-3</v>
      </c>
      <c r="G119" s="102">
        <v>-1.2499999999704414E-3</v>
      </c>
      <c r="H119" s="102" t="s">
        <v>3</v>
      </c>
      <c r="I119" s="103" t="s">
        <v>3</v>
      </c>
      <c r="J119" s="103" t="s">
        <v>3</v>
      </c>
      <c r="K119" s="116" t="s">
        <v>3</v>
      </c>
      <c r="L119" s="97" t="s">
        <v>3</v>
      </c>
      <c r="M119" s="97">
        <f>296.02411-296.024</f>
        <v>1.1000000000649379E-4</v>
      </c>
      <c r="N119" s="97">
        <f>296.02411-296.024</f>
        <v>1.1000000000649379E-4</v>
      </c>
      <c r="O119" s="97">
        <f>296.02411-296.024</f>
        <v>1.1000000000649379E-4</v>
      </c>
      <c r="P119" s="97">
        <f>296.0242-296.024</f>
        <v>2.0000000000663931E-4</v>
      </c>
      <c r="Q119" s="97">
        <f>296.0246-296.024</f>
        <v>6.0000000001991793E-4</v>
      </c>
      <c r="R119" s="97">
        <f>296.02429-296.024</f>
        <v>2.9000000000678483E-4</v>
      </c>
      <c r="S119" s="97">
        <f>296.02411-296.024</f>
        <v>1.1000000000649379E-4</v>
      </c>
      <c r="T119" s="97">
        <f>296.02411-296.024</f>
        <v>1.1000000000649379E-4</v>
      </c>
      <c r="U119" s="97">
        <f>296.0242-296.024</f>
        <v>2.0000000000663931E-4</v>
      </c>
      <c r="V119" s="97">
        <f>296.02411-296.024</f>
        <v>1.1000000000649379E-4</v>
      </c>
      <c r="W119" s="101">
        <f>296.02411-296.024</f>
        <v>1.1000000000649379E-4</v>
      </c>
      <c r="X119" s="101">
        <f>296.02411-296.024</f>
        <v>1.1000000000649379E-4</v>
      </c>
      <c r="Y119" s="101" t="s">
        <v>3</v>
      </c>
      <c r="Z119" s="98" t="s">
        <v>3</v>
      </c>
      <c r="AA119" s="99">
        <f>296.02399-296.024</f>
        <v>-9.9999999747524271E-6</v>
      </c>
      <c r="AB119" s="99">
        <f>296.0242-296.024</f>
        <v>2.0000000000663931E-4</v>
      </c>
      <c r="AC119" s="100">
        <f>296.0239-296.024</f>
        <v>-9.9999999974897946E-5</v>
      </c>
      <c r="AD119" s="100" t="s">
        <v>3</v>
      </c>
      <c r="AE119" s="104">
        <f>296.02461-E119</f>
        <v>6.5000000000736691E-4</v>
      </c>
      <c r="AF119" s="104">
        <f>296.0248-E119</f>
        <v>8.4000000003925379E-4</v>
      </c>
      <c r="AG119" s="104" t="s">
        <v>3</v>
      </c>
      <c r="AH119" s="104" t="s">
        <v>3</v>
      </c>
      <c r="AI119" s="105" t="s">
        <v>3</v>
      </c>
      <c r="AJ119" s="105">
        <v>1.8200000000000001E-4</v>
      </c>
      <c r="AK119" s="105">
        <v>1.189E-3</v>
      </c>
      <c r="AL119" s="105">
        <v>3.0899999999999998E-4</v>
      </c>
      <c r="AM119" s="105" t="s">
        <v>3</v>
      </c>
      <c r="AN119" s="106" t="s">
        <v>3</v>
      </c>
      <c r="AO119" s="106" t="s">
        <v>3</v>
      </c>
      <c r="AP119" s="106" t="s">
        <v>3</v>
      </c>
      <c r="AQ119" s="106" t="s">
        <v>3</v>
      </c>
      <c r="AR119" s="106" t="s">
        <v>3</v>
      </c>
      <c r="AS119" s="107" t="s">
        <v>3</v>
      </c>
      <c r="AT119" s="107" t="s">
        <v>3</v>
      </c>
      <c r="AU119" s="107" t="s">
        <v>3</v>
      </c>
      <c r="AV119" s="107" t="s">
        <v>3</v>
      </c>
      <c r="AW119" s="108" t="s">
        <v>3</v>
      </c>
      <c r="AX119" s="108" t="s">
        <v>3</v>
      </c>
      <c r="AY119" s="109" t="s">
        <v>3</v>
      </c>
      <c r="AZ119" s="109">
        <v>1.4730000000326982E-3</v>
      </c>
      <c r="BA119" s="123">
        <v>3.0000000003838068E-4</v>
      </c>
    </row>
    <row r="120" spans="1:53" x14ac:dyDescent="0.25">
      <c r="A120" s="38">
        <v>117</v>
      </c>
      <c r="B120" s="139" t="s">
        <v>49</v>
      </c>
      <c r="C120" s="38" t="s">
        <v>139</v>
      </c>
      <c r="D120" s="38" t="s">
        <v>235</v>
      </c>
      <c r="E120" s="48">
        <v>294.00940800000001</v>
      </c>
      <c r="F120" s="102" t="s">
        <v>564</v>
      </c>
      <c r="G120" s="102" t="s">
        <v>564</v>
      </c>
      <c r="H120" s="102" t="s">
        <v>564</v>
      </c>
      <c r="I120" s="103">
        <v>-8.7699999999999996E-4</v>
      </c>
      <c r="J120" s="103">
        <v>-0.27</v>
      </c>
      <c r="K120" s="116">
        <f>294.00949-294.0094</f>
        <v>9.0000000000145519E-5</v>
      </c>
      <c r="L120" s="97" t="s">
        <v>3</v>
      </c>
      <c r="M120" s="97">
        <f>294.0087-294.00941</f>
        <v>-7.1000000002641173E-4</v>
      </c>
      <c r="N120" s="97">
        <f>294.00861-294.00941</f>
        <v>-8.0000000002655725E-4</v>
      </c>
      <c r="O120" s="97">
        <f>294.00861-294.00941</f>
        <v>-8.0000000002655725E-4</v>
      </c>
      <c r="P120" s="97">
        <f>294.0087-294.00941</f>
        <v>-7.1000000002641173E-4</v>
      </c>
      <c r="Q120" s="97">
        <f>294.00851-294.00941</f>
        <v>-9.0000000000145519E-4</v>
      </c>
      <c r="R120" s="97">
        <f>294.00861-294.00941</f>
        <v>-8.0000000002655725E-4</v>
      </c>
      <c r="S120" s="97">
        <f>294.0083-294.00941</f>
        <v>-1.1099999999828469E-3</v>
      </c>
      <c r="T120" s="97">
        <f>294.0087-294.00941</f>
        <v>-7.1000000002641173E-4</v>
      </c>
      <c r="U120" s="97">
        <f>294.00861-294.00941</f>
        <v>-8.0000000002655725E-4</v>
      </c>
      <c r="V120" s="97">
        <f>294.00851-294.00941</f>
        <v>-9.0000000000145519E-4</v>
      </c>
      <c r="W120" s="101" t="s">
        <v>564</v>
      </c>
      <c r="X120" s="101" t="s">
        <v>564</v>
      </c>
      <c r="Y120" s="101" t="s">
        <v>564</v>
      </c>
      <c r="Z120" s="98" t="s">
        <v>3</v>
      </c>
      <c r="AA120" s="99">
        <f>294.00961-294.00941</f>
        <v>2.0000000000663931E-4</v>
      </c>
      <c r="AB120" s="99" t="s">
        <v>3</v>
      </c>
      <c r="AC120" s="100">
        <f>294.0094-294.00941</f>
        <v>-9.9999999747524271E-6</v>
      </c>
      <c r="AD120" s="100" t="s">
        <v>3</v>
      </c>
      <c r="AE120" s="104">
        <f>294.0107-E120</f>
        <v>1.2919999999780885E-3</v>
      </c>
      <c r="AF120" s="104">
        <f>294.00743-E120</f>
        <v>-1.9780000000082509E-3</v>
      </c>
      <c r="AG120" s="104" t="s">
        <v>3</v>
      </c>
      <c r="AH120" s="104" t="s">
        <v>3</v>
      </c>
      <c r="AI120" s="105" t="s">
        <v>3</v>
      </c>
      <c r="AJ120" s="105" t="s">
        <v>564</v>
      </c>
      <c r="AK120" s="105">
        <v>5.4100000000000003E-4</v>
      </c>
      <c r="AL120" s="105">
        <v>-1.2300000000000001E-4</v>
      </c>
      <c r="AM120" s="105" t="s">
        <v>564</v>
      </c>
      <c r="AN120" s="106" t="s">
        <v>564</v>
      </c>
      <c r="AO120" s="106" t="s">
        <v>564</v>
      </c>
      <c r="AP120" s="106" t="s">
        <v>564</v>
      </c>
      <c r="AQ120" s="106" t="s">
        <v>564</v>
      </c>
      <c r="AR120" s="106" t="s">
        <v>564</v>
      </c>
      <c r="AS120" s="107" t="s">
        <v>3</v>
      </c>
      <c r="AT120" s="107">
        <f>294.01071-E120</f>
        <v>1.3020000000096843E-3</v>
      </c>
      <c r="AU120" s="107" t="s">
        <v>3</v>
      </c>
      <c r="AV120" s="107" t="s">
        <v>3</v>
      </c>
      <c r="AW120" s="108" t="s">
        <v>3</v>
      </c>
      <c r="AX120" s="108" t="s">
        <v>3</v>
      </c>
      <c r="AY120" s="109" t="s">
        <v>3</v>
      </c>
      <c r="AZ120" s="109" t="s">
        <v>3</v>
      </c>
      <c r="BA120" s="123">
        <v>-9.6999999999525244E-4</v>
      </c>
    </row>
    <row r="121" spans="1:53" x14ac:dyDescent="0.25">
      <c r="A121" s="38">
        <v>118</v>
      </c>
      <c r="B121" s="139" t="s">
        <v>119</v>
      </c>
      <c r="C121" s="38" t="s">
        <v>138</v>
      </c>
      <c r="D121" s="38" t="s">
        <v>236</v>
      </c>
      <c r="E121" s="48">
        <v>207.14919</v>
      </c>
      <c r="F121" s="102" t="s">
        <v>3</v>
      </c>
      <c r="G121" s="102" t="s">
        <v>3</v>
      </c>
      <c r="H121" s="102" t="s">
        <v>3</v>
      </c>
      <c r="I121" s="103" t="s">
        <v>3</v>
      </c>
      <c r="J121" s="103">
        <v>-2.3040000000000001E-3</v>
      </c>
      <c r="K121" s="116">
        <v>-3.3599999999999998E-4</v>
      </c>
      <c r="L121" s="97" t="s">
        <v>3</v>
      </c>
      <c r="M121" s="97">
        <f>207.1489-207.14919</f>
        <v>-2.9000000000678483E-4</v>
      </c>
      <c r="N121" s="97">
        <f>207.14931-207.14919</f>
        <v>1.2000000000966793E-4</v>
      </c>
      <c r="O121" s="97">
        <f>207.149-207.14919</f>
        <v>-1.9000000000346517E-4</v>
      </c>
      <c r="P121" s="97">
        <f>207.1492-207.14919</f>
        <v>1.0000000003174137E-5</v>
      </c>
      <c r="Q121" s="97">
        <f>207.1497-207.14919</f>
        <v>5.0999999999135071E-4</v>
      </c>
      <c r="R121" s="97" t="s">
        <v>3</v>
      </c>
      <c r="S121" s="97">
        <f>207.14931-207.14919</f>
        <v>1.2000000000966793E-4</v>
      </c>
      <c r="T121" s="97">
        <f>207.14931-207.14919</f>
        <v>1.2000000000966793E-4</v>
      </c>
      <c r="U121" s="97">
        <f>207.1494-207.14919</f>
        <v>2.1000000000981345E-4</v>
      </c>
      <c r="V121" s="97">
        <f>207.14951-207.14919</f>
        <v>3.1999999998788553E-4</v>
      </c>
      <c r="W121" s="101">
        <f>207.14931-207.14919</f>
        <v>1.2000000000966793E-4</v>
      </c>
      <c r="X121" s="101">
        <f>207.1494-207.14919</f>
        <v>2.1000000000981345E-4</v>
      </c>
      <c r="Y121" s="101" t="s">
        <v>3</v>
      </c>
      <c r="Z121" s="98">
        <f>207.1497-207.14919</f>
        <v>5.0999999999135071E-4</v>
      </c>
      <c r="AA121" s="99">
        <f>207.1494-207.14919</f>
        <v>2.1000000000981345E-4</v>
      </c>
      <c r="AB121" s="99" t="s">
        <v>3</v>
      </c>
      <c r="AC121" s="100">
        <f>207.14999-207.14919</f>
        <v>7.9999999999813554E-4</v>
      </c>
      <c r="AD121" s="100" t="s">
        <v>3</v>
      </c>
      <c r="AE121" s="104" t="s">
        <v>3</v>
      </c>
      <c r="AF121" s="104" t="s">
        <v>3</v>
      </c>
      <c r="AG121" s="104" t="s">
        <v>3</v>
      </c>
      <c r="AH121" s="104" t="s">
        <v>3</v>
      </c>
      <c r="AI121" s="105">
        <v>1.0399999999999999E-3</v>
      </c>
      <c r="AJ121" s="105" t="s">
        <v>3</v>
      </c>
      <c r="AK121" s="105" t="s">
        <v>3</v>
      </c>
      <c r="AL121" s="105" t="s">
        <v>3</v>
      </c>
      <c r="AM121" s="105" t="s">
        <v>3</v>
      </c>
      <c r="AN121" s="106" t="s">
        <v>3</v>
      </c>
      <c r="AO121" s="106" t="s">
        <v>3</v>
      </c>
      <c r="AP121" s="106" t="s">
        <v>3</v>
      </c>
      <c r="AQ121" s="106" t="s">
        <v>3</v>
      </c>
      <c r="AR121" s="106" t="s">
        <v>3</v>
      </c>
      <c r="AS121" s="107">
        <f>207.1472-E121</f>
        <v>-1.9900000000063756E-3</v>
      </c>
      <c r="AT121" s="107">
        <f>207.1478-E121</f>
        <v>-1.3900000000148793E-3</v>
      </c>
      <c r="AU121" s="107">
        <f>207.1485-E121</f>
        <v>-6.8999999999164174E-4</v>
      </c>
      <c r="AV121" s="107">
        <f>207.1469-E121</f>
        <v>-2.2900000000163345E-3</v>
      </c>
      <c r="AW121" s="108" t="s">
        <v>3</v>
      </c>
      <c r="AX121" s="108" t="s">
        <v>3</v>
      </c>
      <c r="AY121" s="109" t="s">
        <v>3</v>
      </c>
      <c r="AZ121" s="109" t="s">
        <v>3</v>
      </c>
      <c r="BA121" s="123" t="s">
        <v>3</v>
      </c>
    </row>
    <row r="122" spans="1:53" x14ac:dyDescent="0.25">
      <c r="A122" s="38">
        <v>119</v>
      </c>
      <c r="B122" s="139" t="s">
        <v>52</v>
      </c>
      <c r="C122" s="38" t="s">
        <v>138</v>
      </c>
      <c r="D122" s="38" t="s">
        <v>237</v>
      </c>
      <c r="E122" s="48">
        <v>254.05938900000001</v>
      </c>
      <c r="F122" s="102">
        <v>-2.8900000000930959E-4</v>
      </c>
      <c r="G122" s="102">
        <v>-2.8900000000930959E-4</v>
      </c>
      <c r="H122" s="102" t="s">
        <v>3</v>
      </c>
      <c r="I122" s="103" t="s">
        <v>3</v>
      </c>
      <c r="J122" s="103" t="s">
        <v>3</v>
      </c>
      <c r="K122" s="116" t="s">
        <v>3</v>
      </c>
      <c r="L122" s="97" t="s">
        <v>3</v>
      </c>
      <c r="M122" s="97">
        <f>254.0596-254.05939</f>
        <v>2.0999999998139174E-4</v>
      </c>
      <c r="N122" s="97">
        <f>254.05969-254.05939</f>
        <v>2.9999999998153726E-4</v>
      </c>
      <c r="O122" s="97">
        <f>254.05949-254.05939</f>
        <v>1.0000000000331966E-4</v>
      </c>
      <c r="P122" s="97">
        <f>254.05969-254.05939</f>
        <v>2.9999999998153726E-4</v>
      </c>
      <c r="Q122" s="97">
        <f>254.06-254.05939</f>
        <v>6.0999999999467036E-4</v>
      </c>
      <c r="R122" s="97">
        <f>254.0598-254.05939</f>
        <v>4.0999999998803105E-4</v>
      </c>
      <c r="S122" s="97">
        <f>254.05949-254.05939</f>
        <v>1.0000000000331966E-4</v>
      </c>
      <c r="T122" s="97">
        <f>254.05969-254.05939</f>
        <v>2.9999999998153726E-4</v>
      </c>
      <c r="U122" s="97">
        <f>254.0596-254.05939</f>
        <v>2.0999999998139174E-4</v>
      </c>
      <c r="V122" s="97">
        <f>254.0596-254.05939</f>
        <v>2.0999999998139174E-4</v>
      </c>
      <c r="W122" s="101">
        <f>254.05949-254.05939</f>
        <v>1.0000000000331966E-4</v>
      </c>
      <c r="X122" s="101">
        <f>254.0596-254.05939</f>
        <v>2.0999999998139174E-4</v>
      </c>
      <c r="Y122" s="101" t="s">
        <v>3</v>
      </c>
      <c r="Z122" s="98">
        <f>254.06-254.05939</f>
        <v>6.0999999999467036E-4</v>
      </c>
      <c r="AA122" s="99">
        <f>254.0596-254.05939</f>
        <v>2.0999999998139174E-4</v>
      </c>
      <c r="AB122" s="99">
        <f>254.0592-254.05939</f>
        <v>-1.9000000000346517E-4</v>
      </c>
      <c r="AC122" s="100">
        <f>254.0593-254.05939</f>
        <v>-9.0000000000145519E-5</v>
      </c>
      <c r="AD122" s="100" t="s">
        <v>3</v>
      </c>
      <c r="AE122" s="104">
        <f>254.05941-E122</f>
        <v>2.1000000003823516E-5</v>
      </c>
      <c r="AF122" s="104">
        <f>254.0592-E122</f>
        <v>-1.8900000000598993E-4</v>
      </c>
      <c r="AG122" s="104" t="s">
        <v>3</v>
      </c>
      <c r="AH122" s="104" t="s">
        <v>3</v>
      </c>
      <c r="AI122" s="105" t="s">
        <v>3</v>
      </c>
      <c r="AJ122" s="105">
        <v>4.9899999999999999E-4</v>
      </c>
      <c r="AK122" s="105">
        <v>5.0199999999999995E-4</v>
      </c>
      <c r="AL122" s="105">
        <v>-2.7799999999999998E-4</v>
      </c>
      <c r="AM122" s="105" t="s">
        <v>3</v>
      </c>
      <c r="AN122" s="106" t="s">
        <v>3</v>
      </c>
      <c r="AO122" s="106" t="s">
        <v>3</v>
      </c>
      <c r="AP122" s="106" t="s">
        <v>3</v>
      </c>
      <c r="AQ122" s="106" t="s">
        <v>3</v>
      </c>
      <c r="AR122" s="106" t="s">
        <v>3</v>
      </c>
      <c r="AS122" s="107" t="s">
        <v>3</v>
      </c>
      <c r="AT122" s="107">
        <f>254.0641-E122</f>
        <v>4.7109999999861429E-3</v>
      </c>
      <c r="AU122" s="107" t="s">
        <v>3</v>
      </c>
      <c r="AV122" s="107">
        <f>254.0587-E122</f>
        <v>-6.8900000002258821E-4</v>
      </c>
      <c r="AW122" s="108">
        <v>-6.1900000000036925E-4</v>
      </c>
      <c r="AX122" s="108" t="s">
        <v>3</v>
      </c>
      <c r="AY122" s="109">
        <v>2.5099999999156353E-4</v>
      </c>
      <c r="AZ122" s="109">
        <v>1.1079999999878964E-3</v>
      </c>
      <c r="BA122" s="123">
        <v>2.3099999998521525E-4</v>
      </c>
    </row>
    <row r="123" spans="1:53" x14ac:dyDescent="0.25">
      <c r="A123" s="38">
        <v>120</v>
      </c>
      <c r="B123" s="139" t="s">
        <v>52</v>
      </c>
      <c r="C123" s="38" t="s">
        <v>139</v>
      </c>
      <c r="D123" s="38" t="s">
        <v>237</v>
      </c>
      <c r="E123" s="48">
        <v>252.044836</v>
      </c>
      <c r="F123" s="102" t="s">
        <v>564</v>
      </c>
      <c r="G123" s="102" t="s">
        <v>564</v>
      </c>
      <c r="H123" s="102" t="s">
        <v>564</v>
      </c>
      <c r="I123" s="103" t="s">
        <v>3</v>
      </c>
      <c r="J123" s="103" t="s">
        <v>3</v>
      </c>
      <c r="K123" s="116" t="s">
        <v>3</v>
      </c>
      <c r="L123" s="97" t="s">
        <v>3</v>
      </c>
      <c r="M123" s="97">
        <f>252.0446-252.0448</f>
        <v>-2.0000000000663931E-4</v>
      </c>
      <c r="N123" s="97">
        <f>252.0442-252.0448</f>
        <v>-6.0000000001991793E-4</v>
      </c>
      <c r="O123" s="97">
        <f>252.0446-252.0448</f>
        <v>-2.0000000000663931E-4</v>
      </c>
      <c r="P123" s="97">
        <f>252.0446-252.0448</f>
        <v>-2.0000000000663931E-4</v>
      </c>
      <c r="Q123" s="97">
        <f>252.0446-252.0448</f>
        <v>-2.0000000000663931E-4</v>
      </c>
      <c r="R123" s="97">
        <f>252.0443-252.0448</f>
        <v>-5.0000000001659828E-4</v>
      </c>
      <c r="S123" s="97">
        <f>252.04449-252.0448</f>
        <v>-3.100000000131331E-4</v>
      </c>
      <c r="T123" s="97">
        <f>252.0446-252.0448</f>
        <v>-2.0000000000663931E-4</v>
      </c>
      <c r="U123" s="97">
        <f>252.0444-252.0448</f>
        <v>-4.0000000001327862E-4</v>
      </c>
      <c r="V123" s="97">
        <f>252.0444-252.0448</f>
        <v>-4.0000000001327862E-4</v>
      </c>
      <c r="W123" s="101" t="s">
        <v>564</v>
      </c>
      <c r="X123" s="101" t="s">
        <v>564</v>
      </c>
      <c r="Y123" s="101" t="s">
        <v>564</v>
      </c>
      <c r="Z123" s="98" t="s">
        <v>3</v>
      </c>
      <c r="AA123" s="99" t="s">
        <v>3</v>
      </c>
      <c r="AB123" s="99" t="s">
        <v>3</v>
      </c>
      <c r="AC123" s="100" t="s">
        <v>3</v>
      </c>
      <c r="AD123" s="100" t="s">
        <v>3</v>
      </c>
      <c r="AE123" s="104" t="s">
        <v>3</v>
      </c>
      <c r="AF123" s="104" t="s">
        <v>3</v>
      </c>
      <c r="AG123" s="104" t="s">
        <v>3</v>
      </c>
      <c r="AH123" s="104" t="s">
        <v>3</v>
      </c>
      <c r="AI123" s="105">
        <v>-7.2000000000000005E-4</v>
      </c>
      <c r="AJ123" s="105" t="s">
        <v>564</v>
      </c>
      <c r="AK123" s="105">
        <v>-6.9200000000000002E-4</v>
      </c>
      <c r="AL123" s="105" t="s">
        <v>3</v>
      </c>
      <c r="AM123" s="105" t="s">
        <v>564</v>
      </c>
      <c r="AN123" s="106" t="s">
        <v>564</v>
      </c>
      <c r="AO123" s="106" t="s">
        <v>564</v>
      </c>
      <c r="AP123" s="106" t="s">
        <v>564</v>
      </c>
      <c r="AQ123" s="106" t="s">
        <v>564</v>
      </c>
      <c r="AR123" s="106" t="s">
        <v>564</v>
      </c>
      <c r="AS123" s="107" t="s">
        <v>3</v>
      </c>
      <c r="AT123" s="107" t="s">
        <v>3</v>
      </c>
      <c r="AU123" s="107" t="s">
        <v>3</v>
      </c>
      <c r="AV123" s="107" t="s">
        <v>3</v>
      </c>
      <c r="AW123" s="108" t="s">
        <v>3</v>
      </c>
      <c r="AX123" s="108" t="s">
        <v>3</v>
      </c>
      <c r="AY123" s="109">
        <v>2.4099999998838939E-4</v>
      </c>
      <c r="AZ123" s="109" t="s">
        <v>3</v>
      </c>
      <c r="BA123" s="123" t="s">
        <v>3</v>
      </c>
    </row>
    <row r="124" spans="1:53" x14ac:dyDescent="0.25">
      <c r="A124" s="38">
        <v>121</v>
      </c>
      <c r="B124" s="139" t="s">
        <v>120</v>
      </c>
      <c r="C124" s="38" t="s">
        <v>138</v>
      </c>
      <c r="D124" s="38" t="s">
        <v>238</v>
      </c>
      <c r="E124" s="48">
        <v>230.11670000000001</v>
      </c>
      <c r="F124" s="102" t="s">
        <v>3</v>
      </c>
      <c r="G124" s="102" t="s">
        <v>3</v>
      </c>
      <c r="H124" s="102" t="s">
        <v>3</v>
      </c>
      <c r="I124" s="103" t="s">
        <v>3</v>
      </c>
      <c r="J124" s="103" t="s">
        <v>3</v>
      </c>
      <c r="K124" s="116" t="s">
        <v>3</v>
      </c>
      <c r="L124" s="97" t="s">
        <v>3</v>
      </c>
      <c r="M124" s="97" t="s">
        <v>3</v>
      </c>
      <c r="N124" s="97" t="s">
        <v>3</v>
      </c>
      <c r="O124" s="97" t="s">
        <v>3</v>
      </c>
      <c r="P124" s="97" t="s">
        <v>3</v>
      </c>
      <c r="Q124" s="97" t="s">
        <v>3</v>
      </c>
      <c r="R124" s="97" t="s">
        <v>3</v>
      </c>
      <c r="S124" s="97" t="s">
        <v>3</v>
      </c>
      <c r="T124" s="97" t="s">
        <v>3</v>
      </c>
      <c r="U124" s="97" t="s">
        <v>3</v>
      </c>
      <c r="V124" s="97" t="s">
        <v>3</v>
      </c>
      <c r="W124" s="101">
        <f>230.11681-230.1167</f>
        <v>1.0999999997807208E-4</v>
      </c>
      <c r="X124" s="101">
        <f>230.11681-230.1167</f>
        <v>1.0999999997807208E-4</v>
      </c>
      <c r="Y124" s="101" t="s">
        <v>3</v>
      </c>
      <c r="Z124" s="98">
        <f>230.11729-230.1167</f>
        <v>5.8999999998832209E-4</v>
      </c>
      <c r="AA124" s="99">
        <f>230.11681-230.1167</f>
        <v>1.0999999997807208E-4</v>
      </c>
      <c r="AB124" s="99">
        <f>230.1171-230.1167</f>
        <v>3.9999999998485691E-4</v>
      </c>
      <c r="AC124" s="100" t="s">
        <v>3</v>
      </c>
      <c r="AD124" s="100" t="s">
        <v>3</v>
      </c>
      <c r="AE124" s="104" t="s">
        <v>3</v>
      </c>
      <c r="AF124" s="104" t="s">
        <v>3</v>
      </c>
      <c r="AG124" s="104" t="s">
        <v>3</v>
      </c>
      <c r="AH124" s="104" t="s">
        <v>3</v>
      </c>
      <c r="AI124" s="105">
        <v>7.7999999999999999E-4</v>
      </c>
      <c r="AJ124" s="105">
        <v>5.5699999999999999E-4</v>
      </c>
      <c r="AK124" s="105">
        <v>6.1799999999999995E-4</v>
      </c>
      <c r="AL124" s="105" t="s">
        <v>3</v>
      </c>
      <c r="AM124" s="105" t="s">
        <v>3</v>
      </c>
      <c r="AN124" s="106" t="s">
        <v>3</v>
      </c>
      <c r="AO124" s="106" t="s">
        <v>3</v>
      </c>
      <c r="AP124" s="106" t="s">
        <v>3</v>
      </c>
      <c r="AQ124" s="106" t="s">
        <v>3</v>
      </c>
      <c r="AR124" s="106" t="s">
        <v>3</v>
      </c>
      <c r="AS124" s="107" t="s">
        <v>3</v>
      </c>
      <c r="AT124" s="107">
        <f>230.1179-E124</f>
        <v>1.1999999999829924E-3</v>
      </c>
      <c r="AU124" s="107" t="s">
        <v>3</v>
      </c>
      <c r="AV124" s="107">
        <f>230.1151-E124</f>
        <v>-1.5999999999962711E-3</v>
      </c>
      <c r="AW124" s="108" t="s">
        <v>3</v>
      </c>
      <c r="AX124" s="108" t="s">
        <v>3</v>
      </c>
      <c r="AY124" s="109" t="s">
        <v>3</v>
      </c>
      <c r="AZ124" s="109" t="s">
        <v>3</v>
      </c>
      <c r="BA124" s="123" t="s">
        <v>3</v>
      </c>
    </row>
    <row r="125" spans="1:53" x14ac:dyDescent="0.25">
      <c r="A125" s="38">
        <v>122</v>
      </c>
      <c r="B125" s="139" t="s">
        <v>99</v>
      </c>
      <c r="C125" s="38" t="s">
        <v>138</v>
      </c>
      <c r="D125" s="38" t="s">
        <v>239</v>
      </c>
      <c r="E125" s="48">
        <v>202.08539999999999</v>
      </c>
      <c r="F125" s="102" t="s">
        <v>3</v>
      </c>
      <c r="G125" s="102" t="s">
        <v>3</v>
      </c>
      <c r="H125" s="102" t="s">
        <v>3</v>
      </c>
      <c r="I125" s="103" t="s">
        <v>3</v>
      </c>
      <c r="J125" s="103" t="s">
        <v>3</v>
      </c>
      <c r="K125" s="116" t="s">
        <v>3</v>
      </c>
      <c r="L125" s="97" t="s">
        <v>3</v>
      </c>
      <c r="M125" s="97" t="s">
        <v>3</v>
      </c>
      <c r="N125" s="97" t="s">
        <v>3</v>
      </c>
      <c r="O125" s="97" t="s">
        <v>3</v>
      </c>
      <c r="P125" s="97" t="s">
        <v>3</v>
      </c>
      <c r="Q125" s="97" t="s">
        <v>3</v>
      </c>
      <c r="R125" s="97" t="s">
        <v>3</v>
      </c>
      <c r="S125" s="97" t="s">
        <v>3</v>
      </c>
      <c r="T125" s="97" t="s">
        <v>3</v>
      </c>
      <c r="U125" s="97" t="s">
        <v>3</v>
      </c>
      <c r="V125" s="97" t="s">
        <v>3</v>
      </c>
      <c r="W125" s="101">
        <f>202.08549-202.0854</f>
        <v>9.0000000000145519E-5</v>
      </c>
      <c r="X125" s="101">
        <f>202.0853-202.0854</f>
        <v>-1.0000000000331966E-4</v>
      </c>
      <c r="Y125" s="101" t="s">
        <v>3</v>
      </c>
      <c r="Z125" s="98">
        <f>202.08591-202.0854</f>
        <v>5.1000000001977241E-4</v>
      </c>
      <c r="AA125" s="99">
        <f>202.0854-202.0854</f>
        <v>0</v>
      </c>
      <c r="AB125" s="99" t="s">
        <v>3</v>
      </c>
      <c r="AC125" s="100" t="s">
        <v>3</v>
      </c>
      <c r="AD125" s="100" t="s">
        <v>3</v>
      </c>
      <c r="AE125" s="104" t="s">
        <v>3</v>
      </c>
      <c r="AF125" s="104" t="s">
        <v>3</v>
      </c>
      <c r="AG125" s="104" t="s">
        <v>3</v>
      </c>
      <c r="AH125" s="104" t="s">
        <v>3</v>
      </c>
      <c r="AI125" s="105">
        <v>8.4699999999999999E-4</v>
      </c>
      <c r="AJ125" s="105">
        <v>5.5900000000000004E-4</v>
      </c>
      <c r="AK125" s="105">
        <v>6.9399999999999996E-4</v>
      </c>
      <c r="AL125" s="105" t="s">
        <v>3</v>
      </c>
      <c r="AM125" s="105" t="s">
        <v>3</v>
      </c>
      <c r="AN125" s="106" t="s">
        <v>3</v>
      </c>
      <c r="AO125" s="106" t="s">
        <v>3</v>
      </c>
      <c r="AP125" s="106" t="s">
        <v>3</v>
      </c>
      <c r="AQ125" s="106" t="s">
        <v>3</v>
      </c>
      <c r="AR125" s="106" t="s">
        <v>3</v>
      </c>
      <c r="AS125" s="107" t="s">
        <v>3</v>
      </c>
      <c r="AT125" s="107" t="s">
        <v>3</v>
      </c>
      <c r="AU125" s="107" t="s">
        <v>3</v>
      </c>
      <c r="AV125" s="107" t="s">
        <v>3</v>
      </c>
      <c r="AW125" s="108" t="s">
        <v>3</v>
      </c>
      <c r="AX125" s="108" t="s">
        <v>3</v>
      </c>
      <c r="AY125" s="109" t="s">
        <v>3</v>
      </c>
      <c r="AZ125" s="109" t="s">
        <v>3</v>
      </c>
      <c r="BA125" s="123" t="s">
        <v>3</v>
      </c>
    </row>
    <row r="126" spans="1:53" x14ac:dyDescent="0.25">
      <c r="A126" s="38">
        <v>123</v>
      </c>
      <c r="B126" s="139" t="s">
        <v>123</v>
      </c>
      <c r="C126" s="38" t="s">
        <v>138</v>
      </c>
      <c r="D126" s="38" t="s">
        <v>242</v>
      </c>
      <c r="E126" s="48">
        <v>278.211456</v>
      </c>
      <c r="F126" s="102">
        <v>-5.1800000000000001E-4</v>
      </c>
      <c r="G126" s="102">
        <v>-2.6200000000000003E-4</v>
      </c>
      <c r="H126" s="102" t="s">
        <v>3</v>
      </c>
      <c r="I126" s="103" t="s">
        <v>3</v>
      </c>
      <c r="J126" s="103" t="s">
        <v>3</v>
      </c>
      <c r="K126" s="116">
        <f>278.21069-278.2115</f>
        <v>-8.1000000000130967E-4</v>
      </c>
      <c r="L126" s="97" t="s">
        <v>3</v>
      </c>
      <c r="M126" s="97">
        <f>278.21161-278.21146</f>
        <v>1.5000000001919034E-4</v>
      </c>
      <c r="N126" s="97">
        <f>278.21149-278.21146</f>
        <v>3.0000000037944119E-5</v>
      </c>
      <c r="O126" s="97">
        <f>278.21161-278.21146</f>
        <v>1.5000000001919034E-4</v>
      </c>
      <c r="P126" s="97">
        <f>278.2117-278.21146</f>
        <v>2.4000000001933586E-4</v>
      </c>
      <c r="Q126" s="97">
        <f>278.21201-278.21146</f>
        <v>5.5000000003246896E-4</v>
      </c>
      <c r="R126" s="97">
        <f>278.21179-278.21146</f>
        <v>3.3000000001948138E-4</v>
      </c>
      <c r="S126" s="97">
        <f>278.21161-278.21146</f>
        <v>1.5000000001919034E-4</v>
      </c>
      <c r="T126" s="97">
        <f>278.21179-278.21146</f>
        <v>3.3000000001948138E-4</v>
      </c>
      <c r="U126" s="97">
        <f>278.2117-278.21146</f>
        <v>2.4000000001933586E-4</v>
      </c>
      <c r="V126" s="97">
        <f>278.2117-278.21146</f>
        <v>2.4000000001933586E-4</v>
      </c>
      <c r="W126" s="101">
        <f>278.21149-278.21146</f>
        <v>3.0000000037944119E-5</v>
      </c>
      <c r="X126" s="101">
        <f>278.21161-278.21146</f>
        <v>1.5000000001919034E-4</v>
      </c>
      <c r="Y126" s="101" t="s">
        <v>3</v>
      </c>
      <c r="Z126" s="98">
        <f>278.21219-278.21146</f>
        <v>7.3000000003276E-4</v>
      </c>
      <c r="AA126" s="99">
        <f>278.21161-278.21146</f>
        <v>1.5000000001919034E-4</v>
      </c>
      <c r="AB126" s="99">
        <f>278.21149-278.21146</f>
        <v>3.0000000037944119E-5</v>
      </c>
      <c r="AC126" s="100">
        <f>278.2113-278.21146</f>
        <v>-1.5999999999394277E-4</v>
      </c>
      <c r="AD126" s="100" t="s">
        <v>3</v>
      </c>
      <c r="AE126" s="104">
        <f>278.21169-E126</f>
        <v>2.3399999997764098E-4</v>
      </c>
      <c r="AF126" s="104">
        <f>278.21237-E126</f>
        <v>9.1400000002295201E-4</v>
      </c>
      <c r="AG126" s="104">
        <f>278.2118-E126</f>
        <v>3.4399999998413477E-4</v>
      </c>
      <c r="AH126" s="104">
        <f>278.21112-E126</f>
        <v>-3.3600000000433283E-4</v>
      </c>
      <c r="AI126" s="105">
        <v>6.4300000000000002E-4</v>
      </c>
      <c r="AJ126" s="105">
        <v>1.93E-4</v>
      </c>
      <c r="AK126" s="105">
        <v>9.3999999999999997E-4</v>
      </c>
      <c r="AL126" s="105">
        <v>2.4399999999999999E-4</v>
      </c>
      <c r="AM126" s="105" t="s">
        <v>3</v>
      </c>
      <c r="AN126" s="106" t="s">
        <v>3</v>
      </c>
      <c r="AO126" s="106" t="s">
        <v>3</v>
      </c>
      <c r="AP126" s="106" t="s">
        <v>3</v>
      </c>
      <c r="AQ126" s="106" t="s">
        <v>3</v>
      </c>
      <c r="AR126" s="106" t="s">
        <v>3</v>
      </c>
      <c r="AS126" s="107" t="s">
        <v>3</v>
      </c>
      <c r="AT126" s="107">
        <f>278.21109-E126</f>
        <v>-3.6599999998543353E-4</v>
      </c>
      <c r="AU126" s="107" t="s">
        <v>3</v>
      </c>
      <c r="AV126" s="107">
        <f>278.21021-E126</f>
        <v>-1.2459999999805405E-3</v>
      </c>
      <c r="AW126" s="108">
        <v>-4.6400000002222441E-4</v>
      </c>
      <c r="AX126" s="108">
        <v>-2.5599999997893974E-4</v>
      </c>
      <c r="AY126" s="109">
        <v>-8.9999999772771844E-6</v>
      </c>
      <c r="AZ126" s="109" t="s">
        <v>3</v>
      </c>
      <c r="BA126" s="123">
        <v>6.8399999997836858E-4</v>
      </c>
    </row>
    <row r="127" spans="1:53" x14ac:dyDescent="0.25">
      <c r="A127" s="38">
        <v>124</v>
      </c>
      <c r="B127" s="139" t="s">
        <v>293</v>
      </c>
      <c r="C127" s="38" t="s">
        <v>138</v>
      </c>
      <c r="D127" s="38" t="s">
        <v>240</v>
      </c>
      <c r="E127" s="48">
        <v>264.19580500000001</v>
      </c>
      <c r="F127" s="102">
        <v>-7.0499999998219209E-4</v>
      </c>
      <c r="G127" s="102">
        <v>1.774E-3</v>
      </c>
      <c r="H127" s="102" t="s">
        <v>3</v>
      </c>
      <c r="I127" s="103" t="s">
        <v>3</v>
      </c>
      <c r="J127" s="103" t="s">
        <v>3</v>
      </c>
      <c r="K127" s="116">
        <v>-9.0200000000000002E-4</v>
      </c>
      <c r="L127" s="97" t="s">
        <v>3</v>
      </c>
      <c r="M127" s="97">
        <f>264.19601-264.1958</f>
        <v>2.0999999998139174E-4</v>
      </c>
      <c r="N127" s="97">
        <f>264.19589-264.1958</f>
        <v>9.0000000000145519E-5</v>
      </c>
      <c r="O127" s="97">
        <f>264.19571-264.1958</f>
        <v>-9.0000000000145519E-5</v>
      </c>
      <c r="P127" s="97">
        <f>264.19601-264.1958</f>
        <v>2.0999999998139174E-4</v>
      </c>
      <c r="Q127" s="97">
        <v>0</v>
      </c>
      <c r="R127" s="97">
        <f>264.19601-264.1958</f>
        <v>2.0999999998139174E-4</v>
      </c>
      <c r="S127" s="97">
        <f>264.19559-264.1958</f>
        <v>-2.1000000003823516E-4</v>
      </c>
      <c r="T127" s="97">
        <v>0</v>
      </c>
      <c r="U127" s="97">
        <v>0</v>
      </c>
      <c r="V127" s="97">
        <f>264.19601-264.1958</f>
        <v>2.0999999998139174E-4</v>
      </c>
      <c r="W127" s="101">
        <f>264.19589-264.1958</f>
        <v>9.0000000000145519E-5</v>
      </c>
      <c r="X127" s="101">
        <f>264.19601-264.1958</f>
        <v>2.0999999998139174E-4</v>
      </c>
      <c r="Y127" s="101" t="s">
        <v>3</v>
      </c>
      <c r="Z127" s="98" t="s">
        <v>3</v>
      </c>
      <c r="AA127" s="99">
        <f>264.19601-264.1958</f>
        <v>2.0999999998139174E-4</v>
      </c>
      <c r="AB127" s="99" t="s">
        <v>3</v>
      </c>
      <c r="AC127" s="100" t="s">
        <v>3</v>
      </c>
      <c r="AD127" s="100" t="s">
        <v>3</v>
      </c>
      <c r="AE127" s="104">
        <f>264.19635-E127</f>
        <v>5.4499999998824933E-4</v>
      </c>
      <c r="AF127" s="104" t="s">
        <v>3</v>
      </c>
      <c r="AG127" s="104" t="s">
        <v>3</v>
      </c>
      <c r="AH127" s="104" t="s">
        <v>3</v>
      </c>
      <c r="AI127" s="105">
        <v>4.73E-4</v>
      </c>
      <c r="AJ127" s="105">
        <v>-6.4599999999999998E-4</v>
      </c>
      <c r="AK127" s="105">
        <v>7.3700000000000002E-4</v>
      </c>
      <c r="AL127" s="105">
        <f>264.19641-264.19581</f>
        <v>6.0000000001991793E-4</v>
      </c>
      <c r="AM127" s="105" t="s">
        <v>3</v>
      </c>
      <c r="AN127" s="106" t="s">
        <v>3</v>
      </c>
      <c r="AO127" s="106" t="s">
        <v>3</v>
      </c>
      <c r="AP127" s="106" t="s">
        <v>3</v>
      </c>
      <c r="AQ127" s="106" t="s">
        <v>3</v>
      </c>
      <c r="AR127" s="106" t="s">
        <v>3</v>
      </c>
      <c r="AS127" s="107">
        <f>264.19891-E127</f>
        <v>3.1050000000050204E-3</v>
      </c>
      <c r="AT127" s="107">
        <f>264.19629-E127</f>
        <v>4.8499999996920451E-4</v>
      </c>
      <c r="AU127" s="107" t="s">
        <v>3</v>
      </c>
      <c r="AV127" s="107">
        <f>264.1933-E127</f>
        <v>-2.5049999999851025E-3</v>
      </c>
      <c r="AW127" s="108">
        <v>-1.7800000000534055E-4</v>
      </c>
      <c r="AX127" s="108">
        <v>2.549999999814645E-4</v>
      </c>
      <c r="AY127" s="109">
        <v>8.0999999966024916E-5</v>
      </c>
      <c r="AZ127" s="109">
        <v>1.3809999999807587E-3</v>
      </c>
      <c r="BA127" s="123">
        <v>4.1499999997540726E-4</v>
      </c>
    </row>
    <row r="128" spans="1:53" x14ac:dyDescent="0.25">
      <c r="A128" s="38">
        <v>125</v>
      </c>
      <c r="B128" s="139" t="s">
        <v>122</v>
      </c>
      <c r="C128" s="38" t="s">
        <v>138</v>
      </c>
      <c r="D128" s="38" t="s">
        <v>240</v>
      </c>
      <c r="E128" s="48">
        <v>264.19580500000001</v>
      </c>
      <c r="F128" s="102">
        <v>-7.0600000000000003E-4</v>
      </c>
      <c r="G128" s="102">
        <v>-1.4679999999999999E-3</v>
      </c>
      <c r="H128" s="102" t="s">
        <v>3</v>
      </c>
      <c r="I128" s="103" t="s">
        <v>3</v>
      </c>
      <c r="J128" s="103" t="s">
        <v>3</v>
      </c>
      <c r="K128" s="116">
        <v>-4.75E-4</v>
      </c>
      <c r="L128" s="97" t="s">
        <v>3</v>
      </c>
      <c r="M128" s="97">
        <f>264.19601-264.1958</f>
        <v>2.0999999998139174E-4</v>
      </c>
      <c r="N128" s="97">
        <f>264.19589-264.1958</f>
        <v>9.0000000000145519E-5</v>
      </c>
      <c r="O128" s="97">
        <f>264.19589-264.1958</f>
        <v>9.0000000000145519E-5</v>
      </c>
      <c r="P128" s="97">
        <f>264.19601-264.1958</f>
        <v>2.0999999998139174E-4</v>
      </c>
      <c r="Q128" s="97">
        <f>264.19641-264.1958</f>
        <v>6.0999999999467036E-4</v>
      </c>
      <c r="R128" s="97">
        <f>264.19629-264.1958</f>
        <v>4.8999999995658072E-4</v>
      </c>
      <c r="S128" s="97">
        <v>0</v>
      </c>
      <c r="T128" s="97">
        <f>264.19601-264.1958</f>
        <v>2.0999999998139174E-4</v>
      </c>
      <c r="U128" s="97">
        <f>264.19601-264.1958</f>
        <v>2.0999999998139174E-4</v>
      </c>
      <c r="V128" s="97">
        <f>264.19601-264.1958</f>
        <v>2.0999999998139174E-4</v>
      </c>
      <c r="W128" s="101">
        <f>264.19601-264.1958</f>
        <v>2.0999999998139174E-4</v>
      </c>
      <c r="X128" s="101">
        <f>264.19601-264.1958</f>
        <v>2.0999999998139174E-4</v>
      </c>
      <c r="Y128" s="101" t="s">
        <v>3</v>
      </c>
      <c r="Z128" s="98">
        <f>264.19659-264.1958</f>
        <v>7.899999999949614E-4</v>
      </c>
      <c r="AA128" s="99">
        <f>264.19601-264.1958</f>
        <v>2.0999999998139174E-4</v>
      </c>
      <c r="AB128" s="99">
        <v>0</v>
      </c>
      <c r="AC128" s="100">
        <f>264.19571-264.1958</f>
        <v>-9.0000000000145519E-5</v>
      </c>
      <c r="AD128" s="100" t="s">
        <v>3</v>
      </c>
      <c r="AE128" s="104">
        <f>264.19612-E128</f>
        <v>3.1500000000050932E-4</v>
      </c>
      <c r="AF128" s="104">
        <f>264.19661-E128</f>
        <v>8.0500000001393346E-4</v>
      </c>
      <c r="AG128" s="104">
        <f>264.1959-E128</f>
        <v>9.4999999987521733E-5</v>
      </c>
      <c r="AH128" s="104">
        <f>264.19472-E128</f>
        <v>-1.0849999999891224E-3</v>
      </c>
      <c r="AI128" s="105">
        <v>1.1999999999999999E-3</v>
      </c>
      <c r="AJ128" s="105">
        <v>3.6900000000000002E-4</v>
      </c>
      <c r="AK128" s="105">
        <v>4.75E-4</v>
      </c>
      <c r="AL128" s="105">
        <v>2.2100000000000001E-4</v>
      </c>
      <c r="AM128" s="105" t="s">
        <v>3</v>
      </c>
      <c r="AN128" s="106" t="s">
        <v>3</v>
      </c>
      <c r="AO128" s="106" t="s">
        <v>3</v>
      </c>
      <c r="AP128" s="106" t="s">
        <v>3</v>
      </c>
      <c r="AQ128" s="106" t="s">
        <v>3</v>
      </c>
      <c r="AR128" s="106" t="s">
        <v>3</v>
      </c>
      <c r="AS128" s="107">
        <f>264.19879-E128</f>
        <v>2.9849999999669308E-3</v>
      </c>
      <c r="AT128" s="107">
        <f>264.19641-E128</f>
        <v>6.0500000000729415E-4</v>
      </c>
      <c r="AU128" s="107">
        <f>264.19489-E128</f>
        <v>-9.1500000002042725E-4</v>
      </c>
      <c r="AV128" s="107">
        <f>264.1955-E128</f>
        <v>-3.0500000002575689E-4</v>
      </c>
      <c r="AW128" s="108" t="s">
        <v>3</v>
      </c>
      <c r="AX128" s="108" t="s">
        <v>3</v>
      </c>
      <c r="AY128" s="109" t="s">
        <v>3</v>
      </c>
      <c r="AZ128" s="109" t="s">
        <v>3</v>
      </c>
      <c r="BA128" s="123" t="s">
        <v>3</v>
      </c>
    </row>
    <row r="129" spans="1:53" x14ac:dyDescent="0.25">
      <c r="A129" s="38">
        <v>126</v>
      </c>
      <c r="B129" s="139" t="s">
        <v>294</v>
      </c>
      <c r="C129" s="38" t="s">
        <v>138</v>
      </c>
      <c r="D129" s="38" t="s">
        <v>240</v>
      </c>
      <c r="E129" s="48">
        <v>264.19580500000001</v>
      </c>
      <c r="F129" s="102">
        <v>-7.0499999998219209E-4</v>
      </c>
      <c r="G129" s="102">
        <v>1.774E-3</v>
      </c>
      <c r="H129" s="102" t="s">
        <v>3</v>
      </c>
      <c r="I129" s="103" t="s">
        <v>3</v>
      </c>
      <c r="J129" s="103" t="s">
        <v>3</v>
      </c>
      <c r="K129" s="116">
        <v>-9.0200000000000002E-4</v>
      </c>
      <c r="L129" s="97" t="s">
        <v>3</v>
      </c>
      <c r="M129" s="97">
        <f>264.1962-264.1958</f>
        <v>3.999999999564352E-4</v>
      </c>
      <c r="N129" s="97">
        <f>264.19601-264.1958</f>
        <v>2.0999999998139174E-4</v>
      </c>
      <c r="O129" s="97">
        <f>264.19601-264.1958</f>
        <v>2.0999999998139174E-4</v>
      </c>
      <c r="P129" s="97">
        <f>264.19629-264.1958</f>
        <v>4.8999999995658072E-4</v>
      </c>
      <c r="Q129" s="97">
        <f>264.19641-264.1958</f>
        <v>6.0999999999467036E-4</v>
      </c>
      <c r="R129" s="97">
        <f>264.19629-264.1958</f>
        <v>4.8999999995658072E-4</v>
      </c>
      <c r="S129" s="97">
        <f>264.19601-264.1958</f>
        <v>2.0999999998139174E-4</v>
      </c>
      <c r="T129" s="97">
        <f>264.1962-264.1958</f>
        <v>3.999999999564352E-4</v>
      </c>
      <c r="U129" s="97">
        <f>264.1962-264.1958</f>
        <v>3.999999999564352E-4</v>
      </c>
      <c r="V129" s="97">
        <f>264.1962-264.1958</f>
        <v>3.999999999564352E-4</v>
      </c>
      <c r="W129" s="101">
        <f>264.19601-264.1958</f>
        <v>2.0999999998139174E-4</v>
      </c>
      <c r="X129" s="101">
        <f>264.19601-264.1958</f>
        <v>2.0999999998139174E-4</v>
      </c>
      <c r="Y129" s="101" t="s">
        <v>3</v>
      </c>
      <c r="Z129" s="98" t="s">
        <v>3</v>
      </c>
      <c r="AA129" s="99">
        <f>264.19601-264.1958</f>
        <v>2.0999999998139174E-4</v>
      </c>
      <c r="AB129" s="99" t="s">
        <v>3</v>
      </c>
      <c r="AC129" s="100" t="s">
        <v>3</v>
      </c>
      <c r="AD129" s="100" t="s">
        <v>3</v>
      </c>
      <c r="AE129" s="104">
        <f>264.19602-E129</f>
        <v>2.1499999996876795E-4</v>
      </c>
      <c r="AF129" s="104">
        <f>264.1963-E129</f>
        <v>4.9500000000080036E-4</v>
      </c>
      <c r="AG129" s="104" t="s">
        <v>3</v>
      </c>
      <c r="AH129" s="104" t="s">
        <v>3</v>
      </c>
      <c r="AI129" s="105">
        <v>4.73E-4</v>
      </c>
      <c r="AJ129" s="105">
        <v>-6.4599999999999998E-4</v>
      </c>
      <c r="AK129" s="105">
        <v>7.3700000000000002E-4</v>
      </c>
      <c r="AL129" s="105">
        <f>264.19641-264.19581</f>
        <v>6.0000000001991793E-4</v>
      </c>
      <c r="AM129" s="105" t="s">
        <v>3</v>
      </c>
      <c r="AN129" s="106" t="s">
        <v>3</v>
      </c>
      <c r="AO129" s="106" t="s">
        <v>3</v>
      </c>
      <c r="AP129" s="106" t="s">
        <v>3</v>
      </c>
      <c r="AQ129" s="106" t="s">
        <v>3</v>
      </c>
      <c r="AR129" s="106" t="s">
        <v>3</v>
      </c>
      <c r="AS129" s="107" t="s">
        <v>3</v>
      </c>
      <c r="AT129" s="107">
        <f>264.19641-E129</f>
        <v>6.0500000000729415E-4</v>
      </c>
      <c r="AU129" s="107" t="s">
        <v>3</v>
      </c>
      <c r="AV129" s="107">
        <f>264.19531-E129</f>
        <v>-4.9500000000080036E-4</v>
      </c>
      <c r="AW129" s="108" t="s">
        <v>3</v>
      </c>
      <c r="AX129" s="108" t="s">
        <v>3</v>
      </c>
      <c r="AY129" s="109" t="s">
        <v>3</v>
      </c>
      <c r="AZ129" s="109" t="s">
        <v>3</v>
      </c>
      <c r="BA129" s="123" t="s">
        <v>3</v>
      </c>
    </row>
    <row r="130" spans="1:53" x14ac:dyDescent="0.25">
      <c r="A130" s="38">
        <v>127</v>
      </c>
      <c r="B130" s="139" t="s">
        <v>107</v>
      </c>
      <c r="C130" s="38" t="s">
        <v>138</v>
      </c>
      <c r="D130" s="38" t="s">
        <v>241</v>
      </c>
      <c r="E130" s="48">
        <v>280.19072</v>
      </c>
      <c r="F130" s="102">
        <v>1.828E-3</v>
      </c>
      <c r="G130" s="102">
        <v>2.3389999999999999E-3</v>
      </c>
      <c r="H130" s="102" t="s">
        <v>3</v>
      </c>
      <c r="I130" s="103" t="s">
        <v>3</v>
      </c>
      <c r="J130" s="103" t="s">
        <v>3</v>
      </c>
      <c r="K130" s="116">
        <f>280.18951-280.1907</f>
        <v>-1.19000000000824E-3</v>
      </c>
      <c r="L130" s="97">
        <v>0</v>
      </c>
      <c r="M130" s="97">
        <f>280.19089-280.1907</f>
        <v>1.9000000003188688E-4</v>
      </c>
      <c r="N130" s="97">
        <f>280.19101-280.1907</f>
        <v>3.100000000131331E-4</v>
      </c>
      <c r="O130" s="97">
        <v>0</v>
      </c>
      <c r="P130" s="97">
        <f>280.19031-280.1907</f>
        <v>-3.8999999998168278E-4</v>
      </c>
      <c r="Q130" s="97">
        <f>280.19119-280.1907</f>
        <v>4.9000000001342414E-4</v>
      </c>
      <c r="R130" s="97">
        <f>280.19049-280.1907</f>
        <v>-2.0999999998139174E-4</v>
      </c>
      <c r="S130" s="97">
        <f>280.1908-280.1907</f>
        <v>1.0000000003174137E-4</v>
      </c>
      <c r="T130" s="97">
        <f>280.19009-280.1907</f>
        <v>-6.0999999999467036E-4</v>
      </c>
      <c r="U130" s="97">
        <f>280.19019-280.1907</f>
        <v>-5.1000000001977241E-4</v>
      </c>
      <c r="V130" s="97">
        <f>280.19101-280.1907</f>
        <v>3.100000000131331E-4</v>
      </c>
      <c r="W130" s="101">
        <f>280.1908-280.1907</f>
        <v>1.0000000003174137E-4</v>
      </c>
      <c r="X130" s="101">
        <f>280.19089-280.1907</f>
        <v>1.9000000003188688E-4</v>
      </c>
      <c r="Y130" s="101" t="s">
        <v>3</v>
      </c>
      <c r="Z130" s="98" t="s">
        <v>3</v>
      </c>
      <c r="AA130" s="99">
        <f>280.1908-280.1907</f>
        <v>1.0000000003174137E-4</v>
      </c>
      <c r="AB130" s="99" t="s">
        <v>3</v>
      </c>
      <c r="AC130" s="100">
        <f>280.19061-280.1907</f>
        <v>-9.0000000000145519E-5</v>
      </c>
      <c r="AD130" s="100" t="s">
        <v>3</v>
      </c>
      <c r="AE130" s="104">
        <f>280.19093-E130</f>
        <v>2.0999999998139174E-4</v>
      </c>
      <c r="AF130" s="104">
        <f>280.19122-E130</f>
        <v>4.9999999998817657E-4</v>
      </c>
      <c r="AG130" s="104" t="s">
        <v>3</v>
      </c>
      <c r="AH130" s="104" t="s">
        <v>3</v>
      </c>
      <c r="AI130" s="105">
        <f>280.19199-280.19072</f>
        <v>1.2699999999767897E-3</v>
      </c>
      <c r="AJ130" s="105">
        <f>280.19089-280.19072</f>
        <v>1.7000000002553861E-4</v>
      </c>
      <c r="AK130" s="105">
        <f>280.19119-280.19072</f>
        <v>4.7000000000707587E-4</v>
      </c>
      <c r="AL130" s="105">
        <f>280.18839-280.19072</f>
        <v>-2.3299999999721877E-3</v>
      </c>
      <c r="AM130" s="105" t="s">
        <v>3</v>
      </c>
      <c r="AN130" s="106" t="s">
        <v>3</v>
      </c>
      <c r="AO130" s="106" t="s">
        <v>3</v>
      </c>
      <c r="AP130" s="106" t="s">
        <v>3</v>
      </c>
      <c r="AQ130" s="106" t="s">
        <v>3</v>
      </c>
      <c r="AR130" s="106" t="s">
        <v>3</v>
      </c>
      <c r="AS130" s="107" t="s">
        <v>3</v>
      </c>
      <c r="AT130" s="107">
        <f>280.1886-E130</f>
        <v>-2.1199999999907959E-3</v>
      </c>
      <c r="AU130" s="107" t="s">
        <v>3</v>
      </c>
      <c r="AV130" s="107">
        <f>280.19019-E130</f>
        <v>-5.3000000002612069E-4</v>
      </c>
      <c r="AW130" s="108" t="s">
        <v>3</v>
      </c>
      <c r="AX130" s="108" t="s">
        <v>3</v>
      </c>
      <c r="AY130" s="109" t="s">
        <v>3</v>
      </c>
      <c r="AZ130" s="109" t="s">
        <v>3</v>
      </c>
      <c r="BA130" s="123" t="s">
        <v>3</v>
      </c>
    </row>
    <row r="131" spans="1:53" x14ac:dyDescent="0.25">
      <c r="A131" s="38">
        <v>128</v>
      </c>
      <c r="B131" s="139" t="s">
        <v>115</v>
      </c>
      <c r="C131" s="38" t="s">
        <v>138</v>
      </c>
      <c r="D131" s="38" t="s">
        <v>243</v>
      </c>
      <c r="E131" s="48">
        <v>120.05562399999999</v>
      </c>
      <c r="F131" s="102">
        <v>-6.2399999998774547E-4</v>
      </c>
      <c r="G131" s="102">
        <v>5.5099999999999995E-4</v>
      </c>
      <c r="H131" s="102" t="s">
        <v>3</v>
      </c>
      <c r="I131" s="103" t="s">
        <v>3</v>
      </c>
      <c r="J131" s="103" t="s">
        <v>3</v>
      </c>
      <c r="K131" s="116">
        <v>-1.1400000000000001E-4</v>
      </c>
      <c r="L131" s="97" t="s">
        <v>3</v>
      </c>
      <c r="M131" s="97">
        <f>120.0555-120.05562</f>
        <v>-1.2000000000966793E-4</v>
      </c>
      <c r="N131" s="97">
        <f>120.0555-120.05562</f>
        <v>-1.2000000000966793E-4</v>
      </c>
      <c r="O131" s="97">
        <f>120.0554-120.05562</f>
        <v>-2.1999999999877673E-4</v>
      </c>
      <c r="P131" s="97">
        <v>0</v>
      </c>
      <c r="Q131" s="97">
        <f>120.0556-120.05562</f>
        <v>-2.0000000006348273E-5</v>
      </c>
      <c r="R131" s="97">
        <f>120.0556-120.05562</f>
        <v>-2.0000000006348273E-5</v>
      </c>
      <c r="S131" s="97">
        <f>120.0554-120.05562</f>
        <v>-2.1999999999877673E-4</v>
      </c>
      <c r="T131" s="97">
        <f>120.0555-120.05562</f>
        <v>-1.2000000000966793E-4</v>
      </c>
      <c r="U131" s="97">
        <f>120.0555-120.05562</f>
        <v>-1.2000000000966793E-4</v>
      </c>
      <c r="V131" s="97">
        <f>120.0555-120.05562</f>
        <v>-1.2000000000966793E-4</v>
      </c>
      <c r="W131" s="101">
        <f>120.0557-120.05562</f>
        <v>7.9999999996971383E-5</v>
      </c>
      <c r="X131" s="101">
        <f>120.0557-120.05562</f>
        <v>7.9999999996971383E-5</v>
      </c>
      <c r="Y131" s="101" t="s">
        <v>3</v>
      </c>
      <c r="Z131" s="98">
        <f>120.0559-120.05562</f>
        <v>2.7999999998939984E-4</v>
      </c>
      <c r="AA131" s="99">
        <f>120.0557-120.05562</f>
        <v>7.9999999996971383E-5</v>
      </c>
      <c r="AB131" s="99" t="s">
        <v>3</v>
      </c>
      <c r="AC131" s="100">
        <f>120.0556-120.05562</f>
        <v>-2.0000000006348273E-5</v>
      </c>
      <c r="AD131" s="100" t="s">
        <v>3</v>
      </c>
      <c r="AE131" s="104">
        <f>120.0556-E131</f>
        <v>-2.3999999996249244E-5</v>
      </c>
      <c r="AF131" s="104">
        <f>120.05542-E131</f>
        <v>-2.0399999999654028E-4</v>
      </c>
      <c r="AG131" s="104">
        <f>120.05567-E131</f>
        <v>4.6000000011758857E-5</v>
      </c>
      <c r="AH131" s="104">
        <f>120.05525-E131</f>
        <v>-3.7399999999365718E-4</v>
      </c>
      <c r="AI131" s="105">
        <v>1.4239999999999999E-3</v>
      </c>
      <c r="AJ131" s="105">
        <v>2.4699999999999999E-4</v>
      </c>
      <c r="AK131" s="105">
        <v>1.0219999999999999E-3</v>
      </c>
      <c r="AL131" s="105">
        <f>120.0551-120.05562</f>
        <v>-5.200000000087357E-4</v>
      </c>
      <c r="AM131" s="105" t="s">
        <v>3</v>
      </c>
      <c r="AN131" s="106" t="s">
        <v>3</v>
      </c>
      <c r="AO131" s="106" t="s">
        <v>3</v>
      </c>
      <c r="AP131" s="106" t="s">
        <v>3</v>
      </c>
      <c r="AQ131" s="106" t="s">
        <v>3</v>
      </c>
      <c r="AR131" s="106" t="s">
        <v>3</v>
      </c>
      <c r="AS131" s="107">
        <f>120.0536-E131</f>
        <v>-2.0239999999915881E-3</v>
      </c>
      <c r="AT131" s="107">
        <f>120.0549-E131</f>
        <v>-7.2399999999106512E-4</v>
      </c>
      <c r="AU131" s="107">
        <f>120.0547-E131</f>
        <v>-9.2399999999770444E-4</v>
      </c>
      <c r="AV131" s="107">
        <f>120.0552-E131</f>
        <v>-4.2399999999531701E-4</v>
      </c>
      <c r="AW131" s="108" t="s">
        <v>3</v>
      </c>
      <c r="AX131" s="108" t="s">
        <v>3</v>
      </c>
      <c r="AY131" s="109" t="s">
        <v>3</v>
      </c>
      <c r="AZ131" s="109">
        <v>6.3000000011470547E-5</v>
      </c>
      <c r="BA131" s="123">
        <v>2.5600000000736145E-4</v>
      </c>
    </row>
    <row r="132" spans="1:53" x14ac:dyDescent="0.25">
      <c r="A132" s="38">
        <v>129</v>
      </c>
      <c r="B132" s="139" t="s">
        <v>97</v>
      </c>
      <c r="C132" s="38" t="s">
        <v>138</v>
      </c>
      <c r="D132" s="38" t="s">
        <v>244</v>
      </c>
      <c r="E132" s="48">
        <v>164.04545300000001</v>
      </c>
      <c r="F132" s="102" t="s">
        <v>3</v>
      </c>
      <c r="G132" s="102" t="s">
        <v>3</v>
      </c>
      <c r="H132" s="102" t="s">
        <v>3</v>
      </c>
      <c r="I132" s="103" t="s">
        <v>3</v>
      </c>
      <c r="J132" s="103" t="s">
        <v>3</v>
      </c>
      <c r="K132" s="116" t="s">
        <v>3</v>
      </c>
      <c r="L132" s="97" t="s">
        <v>3</v>
      </c>
      <c r="M132" s="97">
        <f>164.0455-164.04545</f>
        <v>5.0000000015870683E-5</v>
      </c>
      <c r="N132" s="97">
        <f>164.04539-164.04545</f>
        <v>-5.999999999062311E-5</v>
      </c>
      <c r="O132" s="97">
        <f>164.04539-164.04545</f>
        <v>-5.999999999062311E-5</v>
      </c>
      <c r="P132" s="97">
        <f>164.0455-164.04545</f>
        <v>5.0000000015870683E-5</v>
      </c>
      <c r="Q132" s="97">
        <f>164.04559-164.04545</f>
        <v>1.400000000160162E-4</v>
      </c>
      <c r="R132" s="97">
        <f>164.04539-164.04545</f>
        <v>-5.999999999062311E-5</v>
      </c>
      <c r="S132" s="97">
        <f>164.0453-164.04545</f>
        <v>-1.4999999999076863E-4</v>
      </c>
      <c r="T132" s="97">
        <f>164.04539-164.04545</f>
        <v>-5.999999999062311E-5</v>
      </c>
      <c r="U132" s="97" t="s">
        <v>3</v>
      </c>
      <c r="V132" s="97">
        <f>164.0455-164.04545</f>
        <v>5.0000000015870683E-5</v>
      </c>
      <c r="W132" s="101" t="s">
        <v>3</v>
      </c>
      <c r="X132" s="101" t="s">
        <v>3</v>
      </c>
      <c r="Y132" s="101" t="s">
        <v>3</v>
      </c>
      <c r="Z132" s="98" t="s">
        <v>3</v>
      </c>
      <c r="AA132" s="99" t="s">
        <v>3</v>
      </c>
      <c r="AB132" s="99" t="s">
        <v>3</v>
      </c>
      <c r="AC132" s="100" t="s">
        <v>3</v>
      </c>
      <c r="AD132" s="100" t="s">
        <v>3</v>
      </c>
      <c r="AE132" s="104" t="s">
        <v>3</v>
      </c>
      <c r="AF132" s="104" t="s">
        <v>3</v>
      </c>
      <c r="AG132" s="104" t="s">
        <v>3</v>
      </c>
      <c r="AH132" s="104" t="s">
        <v>3</v>
      </c>
      <c r="AI132" s="105" t="s">
        <v>3</v>
      </c>
      <c r="AJ132" s="105" t="s">
        <v>3</v>
      </c>
      <c r="AK132" s="105" t="s">
        <v>3</v>
      </c>
      <c r="AL132" s="105" t="s">
        <v>3</v>
      </c>
      <c r="AM132" s="105" t="s">
        <v>3</v>
      </c>
      <c r="AN132" s="106" t="s">
        <v>3</v>
      </c>
      <c r="AO132" s="106" t="s">
        <v>3</v>
      </c>
      <c r="AP132" s="106" t="s">
        <v>3</v>
      </c>
      <c r="AQ132" s="106" t="s">
        <v>3</v>
      </c>
      <c r="AR132" s="106" t="s">
        <v>3</v>
      </c>
      <c r="AS132" s="107" t="s">
        <v>3</v>
      </c>
      <c r="AT132" s="107" t="s">
        <v>3</v>
      </c>
      <c r="AU132" s="107" t="s">
        <v>3</v>
      </c>
      <c r="AV132" s="107" t="s">
        <v>3</v>
      </c>
      <c r="AW132" s="108" t="s">
        <v>3</v>
      </c>
      <c r="AX132" s="108" t="s">
        <v>3</v>
      </c>
      <c r="AY132" s="109" t="s">
        <v>3</v>
      </c>
      <c r="AZ132" s="109" t="s">
        <v>3</v>
      </c>
      <c r="BA132" s="123" t="s">
        <v>3</v>
      </c>
    </row>
    <row r="133" spans="1:53" x14ac:dyDescent="0.25">
      <c r="A133" s="38">
        <v>130</v>
      </c>
      <c r="B133" s="139" t="s">
        <v>27</v>
      </c>
      <c r="C133" s="38" t="s">
        <v>139</v>
      </c>
      <c r="D133" s="38" t="s">
        <v>245</v>
      </c>
      <c r="E133" s="48">
        <v>213.963809</v>
      </c>
      <c r="F133" s="102" t="s">
        <v>564</v>
      </c>
      <c r="G133" s="102" t="s">
        <v>564</v>
      </c>
      <c r="H133" s="102" t="s">
        <v>564</v>
      </c>
      <c r="I133" s="103" t="s">
        <v>3</v>
      </c>
      <c r="J133" s="103" t="s">
        <v>3</v>
      </c>
      <c r="K133" s="116">
        <f>213.96429-213.9638</f>
        <v>4.9000000001342414E-4</v>
      </c>
      <c r="L133" s="97">
        <f>213.963-213.9638</f>
        <v>-7.9999999999813554E-4</v>
      </c>
      <c r="M133" s="97">
        <f>213.96359-213.9638</f>
        <v>-2.0999999998139174E-4</v>
      </c>
      <c r="N133" s="97">
        <f>213.96339-213.9638</f>
        <v>-4.0999999998803105E-4</v>
      </c>
      <c r="O133" s="97">
        <f>213.9637-213.9638</f>
        <v>-1.0000000000331966E-4</v>
      </c>
      <c r="P133" s="97">
        <f>213.9637-213.9638</f>
        <v>-1.0000000000331966E-4</v>
      </c>
      <c r="Q133" s="97">
        <f>213.96359-213.9638</f>
        <v>-2.0999999998139174E-4</v>
      </c>
      <c r="R133" s="97">
        <f>213.9635-213.9638</f>
        <v>-2.9999999998153726E-4</v>
      </c>
      <c r="S133" s="97">
        <f>213.9635-213.9638</f>
        <v>-2.9999999998153726E-4</v>
      </c>
      <c r="T133" s="97">
        <f>213.96359-213.9638</f>
        <v>-2.0999999998139174E-4</v>
      </c>
      <c r="U133" s="97">
        <f>213.96359-213.9638</f>
        <v>-2.0999999998139174E-4</v>
      </c>
      <c r="V133" s="97">
        <f>213.96359-213.9638</f>
        <v>-2.0999999998139174E-4</v>
      </c>
      <c r="W133" s="101" t="s">
        <v>564</v>
      </c>
      <c r="X133" s="101" t="s">
        <v>564</v>
      </c>
      <c r="Y133" s="101" t="s">
        <v>564</v>
      </c>
      <c r="Z133" s="98">
        <f>213.963-213.9638</f>
        <v>-7.9999999999813554E-4</v>
      </c>
      <c r="AA133" s="99">
        <f>213.9639-213.9638</f>
        <v>1.0000000000331966E-4</v>
      </c>
      <c r="AB133" s="99">
        <f>213.96381-213.9638</f>
        <v>1.0000000003174137E-5</v>
      </c>
      <c r="AC133" s="100">
        <f>213.9639-213.9638</f>
        <v>1.0000000000331966E-4</v>
      </c>
      <c r="AD133" s="100" t="s">
        <v>3</v>
      </c>
      <c r="AE133" s="104">
        <f>213.96453-E133</f>
        <v>7.209999999986394E-4</v>
      </c>
      <c r="AF133" s="104">
        <f>213.96452-E133</f>
        <v>7.1099999999546526E-4</v>
      </c>
      <c r="AG133" s="104" t="s">
        <v>3</v>
      </c>
      <c r="AH133" s="104">
        <f>213.9632-E133</f>
        <v>-6.0899999999719512E-4</v>
      </c>
      <c r="AI133" s="105">
        <v>-9.8299999999999993E-4</v>
      </c>
      <c r="AJ133" s="105" t="s">
        <v>564</v>
      </c>
      <c r="AK133" s="105">
        <v>-1.018E-3</v>
      </c>
      <c r="AL133" s="105">
        <v>-5.7799999999999995E-4</v>
      </c>
      <c r="AM133" s="105" t="s">
        <v>564</v>
      </c>
      <c r="AN133" s="106" t="s">
        <v>564</v>
      </c>
      <c r="AO133" s="106" t="s">
        <v>564</v>
      </c>
      <c r="AP133" s="106" t="s">
        <v>564</v>
      </c>
      <c r="AQ133" s="106" t="s">
        <v>564</v>
      </c>
      <c r="AR133" s="106" t="s">
        <v>564</v>
      </c>
      <c r="AS133" s="107">
        <f>213.9631-E133</f>
        <v>-7.0900000000051477E-4</v>
      </c>
      <c r="AT133" s="107">
        <f>213.9664-E133</f>
        <v>2.590999999995347E-3</v>
      </c>
      <c r="AU133" s="107">
        <f>213.964-E133</f>
        <v>1.9100000000094042E-4</v>
      </c>
      <c r="AV133" s="107">
        <f>213.96201-E133</f>
        <v>-1.7990000000054351E-3</v>
      </c>
      <c r="AW133" s="108">
        <v>1.7700000000786531E-4</v>
      </c>
      <c r="AX133" s="108" t="s">
        <v>3</v>
      </c>
      <c r="AY133" s="109">
        <v>1.4899999999329339E-4</v>
      </c>
      <c r="AZ133" s="109">
        <v>-1.8199999999524152E-4</v>
      </c>
      <c r="BA133" s="123">
        <v>-4.5999999997548002E-5</v>
      </c>
    </row>
    <row r="134" spans="1:53" x14ac:dyDescent="0.25">
      <c r="A134" s="38">
        <v>131</v>
      </c>
      <c r="B134" s="139" t="s">
        <v>28</v>
      </c>
      <c r="C134" s="38" t="s">
        <v>139</v>
      </c>
      <c r="D134" s="38" t="s">
        <v>246</v>
      </c>
      <c r="E134" s="48">
        <v>201.98156700000001</v>
      </c>
      <c r="F134" s="102" t="s">
        <v>564</v>
      </c>
      <c r="G134" s="102" t="s">
        <v>564</v>
      </c>
      <c r="H134" s="102" t="s">
        <v>564</v>
      </c>
      <c r="I134" s="103" t="s">
        <v>3</v>
      </c>
      <c r="J134" s="103" t="s">
        <v>3</v>
      </c>
      <c r="K134" s="116">
        <v>0</v>
      </c>
      <c r="L134" s="97" t="s">
        <v>3</v>
      </c>
      <c r="M134" s="97">
        <f>201.9812-201.98157</f>
        <v>-3.7000000000375621E-4</v>
      </c>
      <c r="N134" s="97">
        <f>201.98129-201.98157</f>
        <v>-2.8000000000361069E-4</v>
      </c>
      <c r="O134" s="97">
        <f>201.98129-201.98157</f>
        <v>-2.8000000000361069E-4</v>
      </c>
      <c r="P134" s="97">
        <f>201.9812-201.98157</f>
        <v>-3.7000000000375621E-4</v>
      </c>
      <c r="Q134" s="97">
        <f>201.98129-201.98157</f>
        <v>-2.8000000000361069E-4</v>
      </c>
      <c r="R134" s="97">
        <f>201.9812-201.98157</f>
        <v>-3.7000000000375621E-4</v>
      </c>
      <c r="S134" s="97">
        <f>201.98129-201.98157</f>
        <v>-2.8000000000361069E-4</v>
      </c>
      <c r="T134" s="97">
        <f>201.98129-201.98157</f>
        <v>-2.8000000000361069E-4</v>
      </c>
      <c r="U134" s="97">
        <f>201.9812-201.98157</f>
        <v>-3.7000000000375621E-4</v>
      </c>
      <c r="V134" s="97">
        <f>201.98109-201.98157</f>
        <v>-4.8000000001025001E-4</v>
      </c>
      <c r="W134" s="101" t="s">
        <v>564</v>
      </c>
      <c r="X134" s="101" t="s">
        <v>564</v>
      </c>
      <c r="Y134" s="101" t="s">
        <v>564</v>
      </c>
      <c r="Z134" s="98">
        <f>201.981-201.98157</f>
        <v>-5.7000000001039552E-4</v>
      </c>
      <c r="AA134" s="99">
        <f>201.9816-201.98157</f>
        <v>2.99999999811007E-5</v>
      </c>
      <c r="AB134" s="99" t="s">
        <v>3</v>
      </c>
      <c r="AC134" s="100">
        <f>201.9816-201.98157</f>
        <v>2.99999999811007E-5</v>
      </c>
      <c r="AD134" s="100" t="s">
        <v>3</v>
      </c>
      <c r="AE134" s="104">
        <f>201.9816-E134</f>
        <v>3.2999999973526428E-5</v>
      </c>
      <c r="AF134" s="104">
        <f>201.98193-E134</f>
        <v>3.629999999930078E-4</v>
      </c>
      <c r="AG134" s="104" t="s">
        <v>3</v>
      </c>
      <c r="AH134" s="104" t="s">
        <v>3</v>
      </c>
      <c r="AI134" s="105">
        <v>-7.1199999999999996E-4</v>
      </c>
      <c r="AJ134" s="105" t="s">
        <v>564</v>
      </c>
      <c r="AK134" s="105">
        <v>-3.5300000000000002E-4</v>
      </c>
      <c r="AL134" s="105">
        <v>-7.1599999999999995E-4</v>
      </c>
      <c r="AM134" s="105" t="s">
        <v>564</v>
      </c>
      <c r="AN134" s="106" t="s">
        <v>564</v>
      </c>
      <c r="AO134" s="106" t="s">
        <v>564</v>
      </c>
      <c r="AP134" s="106" t="s">
        <v>564</v>
      </c>
      <c r="AQ134" s="106" t="s">
        <v>564</v>
      </c>
      <c r="AR134" s="106" t="s">
        <v>564</v>
      </c>
      <c r="AS134" s="107" t="s">
        <v>3</v>
      </c>
      <c r="AT134" s="107">
        <f>201.9812-E134</f>
        <v>-3.6700000001133048E-4</v>
      </c>
      <c r="AU134" s="107" t="s">
        <v>3</v>
      </c>
      <c r="AV134" s="107">
        <f>201.9807-E134</f>
        <v>-8.6699999999950705E-4</v>
      </c>
      <c r="AW134" s="108" t="s">
        <v>3</v>
      </c>
      <c r="AX134" s="108" t="s">
        <v>3</v>
      </c>
      <c r="AY134" s="109">
        <v>1.6799999997374471E-4</v>
      </c>
      <c r="AZ134" s="109">
        <v>3.7599999998860767E-4</v>
      </c>
      <c r="BA134" s="123" t="s">
        <v>3</v>
      </c>
    </row>
    <row r="135" spans="1:53" x14ac:dyDescent="0.25">
      <c r="A135" s="38">
        <v>132</v>
      </c>
      <c r="B135" s="139" t="s">
        <v>29</v>
      </c>
      <c r="C135" s="38" t="s">
        <v>139</v>
      </c>
      <c r="D135" s="38" t="s">
        <v>247</v>
      </c>
      <c r="E135" s="48">
        <v>172.99140299999999</v>
      </c>
      <c r="F135" s="102" t="s">
        <v>564</v>
      </c>
      <c r="G135" s="102" t="s">
        <v>564</v>
      </c>
      <c r="H135" s="102" t="s">
        <v>564</v>
      </c>
      <c r="I135" s="103" t="s">
        <v>3</v>
      </c>
      <c r="J135" s="103" t="s">
        <v>3</v>
      </c>
      <c r="K135" s="116" t="s">
        <v>3</v>
      </c>
      <c r="L135" s="97">
        <f>172.9908-172.9914</f>
        <v>-5.9999999999149622E-4</v>
      </c>
      <c r="M135" s="97">
        <f>172.99091-172.9914</f>
        <v>-4.8999999998500243E-4</v>
      </c>
      <c r="N135" s="97">
        <f>172.9911-172.9914</f>
        <v>-3.0000000000995897E-4</v>
      </c>
      <c r="O135" s="97">
        <f>172.9911-172.9914</f>
        <v>-3.0000000000995897E-4</v>
      </c>
      <c r="P135" s="97">
        <f>172.9911-172.9914</f>
        <v>-3.0000000000995897E-4</v>
      </c>
      <c r="Q135" s="97">
        <f>172.9912-172.9914</f>
        <v>-2.0000000000663931E-4</v>
      </c>
      <c r="R135" s="97">
        <f>172.991-172.9914</f>
        <v>-3.9999999998485691E-4</v>
      </c>
      <c r="S135" s="97">
        <f>172.9911-172.9914</f>
        <v>-3.0000000000995897E-4</v>
      </c>
      <c r="T135" s="97">
        <f>172.9912-172.9914</f>
        <v>-2.0000000000663931E-4</v>
      </c>
      <c r="U135" s="97">
        <f>172.9911-172.9914</f>
        <v>-3.0000000000995897E-4</v>
      </c>
      <c r="V135" s="97">
        <f>172.9911-172.9914</f>
        <v>-3.0000000000995897E-4</v>
      </c>
      <c r="W135" s="101" t="s">
        <v>564</v>
      </c>
      <c r="X135" s="101" t="s">
        <v>564</v>
      </c>
      <c r="Y135" s="101" t="s">
        <v>564</v>
      </c>
      <c r="Z135" s="98">
        <f>172.99071-172.9914</f>
        <v>-6.8999999999164174E-4</v>
      </c>
      <c r="AA135" s="99">
        <f>172.9913-172.9914</f>
        <v>-1.0000000000331966E-4</v>
      </c>
      <c r="AB135" s="99" t="s">
        <v>3</v>
      </c>
      <c r="AC135" s="100">
        <f>172.9915-172.9914</f>
        <v>1.0000000000331966E-4</v>
      </c>
      <c r="AD135" s="100" t="s">
        <v>3</v>
      </c>
      <c r="AE135" s="104">
        <f>172.99167-E135</f>
        <v>2.6700000000801083E-4</v>
      </c>
      <c r="AF135" s="104" t="s">
        <v>3</v>
      </c>
      <c r="AG135" s="104" t="s">
        <v>3</v>
      </c>
      <c r="AH135" s="104" t="s">
        <v>3</v>
      </c>
      <c r="AI135" s="105" t="s">
        <v>3</v>
      </c>
      <c r="AJ135" s="105" t="s">
        <v>564</v>
      </c>
      <c r="AK135" s="105">
        <v>-1.4999999999999999E-4</v>
      </c>
      <c r="AL135" s="105">
        <v>-1.4300000000000001E-4</v>
      </c>
      <c r="AM135" s="105" t="s">
        <v>564</v>
      </c>
      <c r="AN135" s="106" t="s">
        <v>564</v>
      </c>
      <c r="AO135" s="106" t="s">
        <v>564</v>
      </c>
      <c r="AP135" s="106" t="s">
        <v>564</v>
      </c>
      <c r="AQ135" s="106" t="s">
        <v>564</v>
      </c>
      <c r="AR135" s="106" t="s">
        <v>564</v>
      </c>
      <c r="AS135" s="107" t="s">
        <v>3</v>
      </c>
      <c r="AT135" s="107" t="s">
        <v>3</v>
      </c>
      <c r="AU135" s="107" t="s">
        <v>3</v>
      </c>
      <c r="AV135" s="107" t="s">
        <v>3</v>
      </c>
      <c r="AW135" s="108" t="s">
        <v>3</v>
      </c>
      <c r="AX135" s="108" t="s">
        <v>3</v>
      </c>
      <c r="AY135" s="109" t="s">
        <v>3</v>
      </c>
      <c r="AZ135" s="109" t="s">
        <v>3</v>
      </c>
      <c r="BA135" s="123" t="s">
        <v>3</v>
      </c>
    </row>
    <row r="136" spans="1:53" x14ac:dyDescent="0.25">
      <c r="A136" s="38">
        <v>133</v>
      </c>
      <c r="B136" s="139" t="s">
        <v>30</v>
      </c>
      <c r="C136" s="38" t="s">
        <v>139</v>
      </c>
      <c r="D136" s="38" t="s">
        <v>248</v>
      </c>
      <c r="E136" s="48">
        <v>199.04343900000001</v>
      </c>
      <c r="F136" s="102" t="s">
        <v>564</v>
      </c>
      <c r="G136" s="102" t="s">
        <v>564</v>
      </c>
      <c r="H136" s="102" t="s">
        <v>564</v>
      </c>
      <c r="I136" s="103" t="s">
        <v>3</v>
      </c>
      <c r="J136" s="103" t="s">
        <v>3</v>
      </c>
      <c r="K136" s="116">
        <f>199.0439-199.0434</f>
        <v>5.0000000001659828E-4</v>
      </c>
      <c r="L136" s="97" t="s">
        <v>3</v>
      </c>
      <c r="M136" s="97">
        <f>199.0433-199.04344</f>
        <v>-1.400000000160162E-4</v>
      </c>
      <c r="N136" s="97">
        <f>199.0433-199.04344</f>
        <v>-1.400000000160162E-4</v>
      </c>
      <c r="O136" s="97">
        <f>199.0434-199.04344</f>
        <v>-4.0000000012696546E-5</v>
      </c>
      <c r="P136" s="97">
        <f>199.0434-199.04344</f>
        <v>-4.0000000012696546E-5</v>
      </c>
      <c r="Q136" s="97">
        <f>199.0434-199.04344</f>
        <v>-4.0000000012696546E-5</v>
      </c>
      <c r="R136" s="97">
        <f>199.04311-199.04344</f>
        <v>-3.2999999999105967E-4</v>
      </c>
      <c r="S136" s="97">
        <f>199.0432-199.04344</f>
        <v>-2.3999999999091415E-4</v>
      </c>
      <c r="T136" s="97">
        <f>199.04179-199.04344</f>
        <v>-1.6500000000121418E-3</v>
      </c>
      <c r="U136" s="97">
        <f>199.04311-199.04344</f>
        <v>-3.2999999999105967E-4</v>
      </c>
      <c r="V136" s="97">
        <f>199.0433-199.04344</f>
        <v>-1.400000000160162E-4</v>
      </c>
      <c r="W136" s="101" t="s">
        <v>564</v>
      </c>
      <c r="X136" s="101" t="s">
        <v>564</v>
      </c>
      <c r="Y136" s="101" t="s">
        <v>564</v>
      </c>
      <c r="Z136" s="98">
        <f>199.0428-199.04344</f>
        <v>-6.4000000000419277E-4</v>
      </c>
      <c r="AA136" s="99">
        <f>199.0435-199.04344</f>
        <v>5.999999999062311E-5</v>
      </c>
      <c r="AB136" s="99">
        <f>199.0434-199.04344</f>
        <v>-4.0000000012696546E-5</v>
      </c>
      <c r="AC136" s="100">
        <f>199.0434-199.04344</f>
        <v>-4.0000000012696546E-5</v>
      </c>
      <c r="AD136" s="100" t="s">
        <v>3</v>
      </c>
      <c r="AE136" s="104">
        <f>199.04387-E136</f>
        <v>4.3099999999185457E-4</v>
      </c>
      <c r="AF136" s="104" t="s">
        <v>3</v>
      </c>
      <c r="AG136" s="104">
        <f>199.04292-E136</f>
        <v>-5.189999999970496E-4</v>
      </c>
      <c r="AH136" s="104">
        <f>199.04377-E136</f>
        <v>3.3099999998853491E-4</v>
      </c>
      <c r="AI136" s="105" t="s">
        <v>3</v>
      </c>
      <c r="AJ136" s="105" t="s">
        <v>564</v>
      </c>
      <c r="AK136" s="105">
        <v>-3.0000000000000001E-5</v>
      </c>
      <c r="AL136" s="105">
        <v>-4.5800000000000002E-4</v>
      </c>
      <c r="AM136" s="105" t="s">
        <v>564</v>
      </c>
      <c r="AN136" s="106" t="s">
        <v>564</v>
      </c>
      <c r="AO136" s="106" t="s">
        <v>564</v>
      </c>
      <c r="AP136" s="106" t="s">
        <v>564</v>
      </c>
      <c r="AQ136" s="106" t="s">
        <v>564</v>
      </c>
      <c r="AR136" s="106" t="s">
        <v>564</v>
      </c>
      <c r="AS136" s="107">
        <f>199.04671-E136</f>
        <v>3.2709999999838146E-3</v>
      </c>
      <c r="AT136" s="107">
        <f>199.0443-E136</f>
        <v>8.6099999998623389E-4</v>
      </c>
      <c r="AU136" s="107" t="s">
        <v>3</v>
      </c>
      <c r="AV136" s="107">
        <f>199.0416-E136</f>
        <v>-1.8390000000181317E-3</v>
      </c>
      <c r="AW136" s="108">
        <v>2.9699999998911153E-4</v>
      </c>
      <c r="AX136" s="108" t="s">
        <v>3</v>
      </c>
      <c r="AY136" s="109">
        <v>2.5899999999978718E-4</v>
      </c>
      <c r="AZ136" s="109">
        <v>3.2799999999610918E-4</v>
      </c>
      <c r="BA136" s="123">
        <v>-2.9700000001753324E-4</v>
      </c>
    </row>
    <row r="137" spans="1:53" x14ac:dyDescent="0.25">
      <c r="A137" s="38">
        <v>134</v>
      </c>
      <c r="B137" s="139" t="s">
        <v>31</v>
      </c>
      <c r="C137" s="38" t="s">
        <v>139</v>
      </c>
      <c r="D137" s="38" t="s">
        <v>249</v>
      </c>
      <c r="E137" s="48">
        <v>151.04006799999999</v>
      </c>
      <c r="F137" s="102" t="s">
        <v>564</v>
      </c>
      <c r="G137" s="102" t="s">
        <v>564</v>
      </c>
      <c r="H137" s="102" t="s">
        <v>564</v>
      </c>
      <c r="I137" s="103" t="s">
        <v>3</v>
      </c>
      <c r="J137" s="103" t="s">
        <v>3</v>
      </c>
      <c r="K137" s="116" t="s">
        <v>3</v>
      </c>
      <c r="L137" s="97" t="s">
        <v>3</v>
      </c>
      <c r="M137" s="97" t="s">
        <v>3</v>
      </c>
      <c r="N137" s="97" t="s">
        <v>3</v>
      </c>
      <c r="O137" s="97" t="s">
        <v>3</v>
      </c>
      <c r="P137" s="97" t="s">
        <v>3</v>
      </c>
      <c r="Q137" s="97" t="s">
        <v>3</v>
      </c>
      <c r="R137" s="97" t="s">
        <v>3</v>
      </c>
      <c r="S137" s="97" t="s">
        <v>3</v>
      </c>
      <c r="T137" s="97" t="s">
        <v>3</v>
      </c>
      <c r="U137" s="97" t="s">
        <v>3</v>
      </c>
      <c r="V137" s="97" t="s">
        <v>3</v>
      </c>
      <c r="W137" s="101" t="s">
        <v>564</v>
      </c>
      <c r="X137" s="101" t="s">
        <v>564</v>
      </c>
      <c r="Y137" s="101" t="s">
        <v>564</v>
      </c>
      <c r="Z137" s="98" t="s">
        <v>3</v>
      </c>
      <c r="AA137" s="99" t="s">
        <v>3</v>
      </c>
      <c r="AB137" s="99" t="s">
        <v>3</v>
      </c>
      <c r="AC137" s="100" t="s">
        <v>3</v>
      </c>
      <c r="AD137" s="100" t="s">
        <v>3</v>
      </c>
      <c r="AE137" s="104">
        <f>151.03982-E137</f>
        <v>-2.479999999991378E-4</v>
      </c>
      <c r="AF137" s="104">
        <f>151.0391-E137</f>
        <v>-9.6800000000030195E-4</v>
      </c>
      <c r="AG137" s="104" t="s">
        <v>3</v>
      </c>
      <c r="AH137" s="104">
        <f>151.0395-E137</f>
        <v>-5.6799999998702333E-4</v>
      </c>
      <c r="AI137" s="105" t="s">
        <v>3</v>
      </c>
      <c r="AJ137" s="105" t="s">
        <v>564</v>
      </c>
      <c r="AK137" s="105">
        <v>6.9300000000000004E-4</v>
      </c>
      <c r="AL137" s="105" t="s">
        <v>3</v>
      </c>
      <c r="AM137" s="105" t="s">
        <v>564</v>
      </c>
      <c r="AN137" s="106" t="s">
        <v>564</v>
      </c>
      <c r="AO137" s="106" t="s">
        <v>564</v>
      </c>
      <c r="AP137" s="106" t="s">
        <v>564</v>
      </c>
      <c r="AQ137" s="106" t="s">
        <v>564</v>
      </c>
      <c r="AR137" s="106" t="s">
        <v>564</v>
      </c>
      <c r="AS137" s="107" t="s">
        <v>3</v>
      </c>
      <c r="AT137" s="107" t="s">
        <v>3</v>
      </c>
      <c r="AU137" s="107" t="s">
        <v>3</v>
      </c>
      <c r="AV137" s="107" t="s">
        <v>3</v>
      </c>
      <c r="AW137" s="108" t="s">
        <v>3</v>
      </c>
      <c r="AX137" s="108" t="s">
        <v>3</v>
      </c>
      <c r="AY137" s="109" t="s">
        <v>3</v>
      </c>
      <c r="AZ137" s="109" t="s">
        <v>3</v>
      </c>
      <c r="BA137" s="123" t="s">
        <v>3</v>
      </c>
    </row>
    <row r="138" spans="1:53" x14ac:dyDescent="0.25">
      <c r="A138" s="38">
        <v>135</v>
      </c>
      <c r="B138" s="139" t="s">
        <v>32</v>
      </c>
      <c r="C138" s="38" t="s">
        <v>139</v>
      </c>
      <c r="D138" s="38" t="s">
        <v>250</v>
      </c>
      <c r="E138" s="48">
        <v>219.17543900000001</v>
      </c>
      <c r="F138" s="102" t="s">
        <v>564</v>
      </c>
      <c r="G138" s="102" t="s">
        <v>564</v>
      </c>
      <c r="H138" s="102" t="s">
        <v>564</v>
      </c>
      <c r="I138" s="103" t="s">
        <v>3</v>
      </c>
      <c r="J138" s="103" t="s">
        <v>3</v>
      </c>
      <c r="K138" s="116" t="s">
        <v>3</v>
      </c>
      <c r="L138" s="97" t="s">
        <v>3</v>
      </c>
      <c r="M138" s="97" t="s">
        <v>3</v>
      </c>
      <c r="N138" s="97" t="s">
        <v>3</v>
      </c>
      <c r="O138" s="97" t="s">
        <v>3</v>
      </c>
      <c r="P138" s="97" t="s">
        <v>3</v>
      </c>
      <c r="Q138" s="97">
        <f>219.1752-219.17544</f>
        <v>-2.4000000001933586E-4</v>
      </c>
      <c r="R138" s="97" t="s">
        <v>3</v>
      </c>
      <c r="S138" s="97">
        <f>219.1748-219.17544</f>
        <v>-6.4000000000419277E-4</v>
      </c>
      <c r="T138" s="97">
        <f>219.1749-219.17544</f>
        <v>-5.4000000000087311E-4</v>
      </c>
      <c r="U138" s="97">
        <f>219.175-219.17544</f>
        <v>-4.3999999999755346E-4</v>
      </c>
      <c r="V138" s="97" t="s">
        <v>3</v>
      </c>
      <c r="W138" s="101" t="s">
        <v>564</v>
      </c>
      <c r="X138" s="101" t="s">
        <v>564</v>
      </c>
      <c r="Y138" s="101" t="s">
        <v>564</v>
      </c>
      <c r="Z138" s="98" t="s">
        <v>3</v>
      </c>
      <c r="AA138" s="99" t="s">
        <v>3</v>
      </c>
      <c r="AB138" s="99" t="s">
        <v>3</v>
      </c>
      <c r="AC138" s="100" t="s">
        <v>3</v>
      </c>
      <c r="AD138" s="100" t="s">
        <v>3</v>
      </c>
      <c r="AE138" s="104">
        <f>219.17639-E138</f>
        <v>9.5099999998637941E-4</v>
      </c>
      <c r="AF138" s="104">
        <f>219.17483-E138</f>
        <v>-6.0900000002561683E-4</v>
      </c>
      <c r="AG138" s="104">
        <f>219.17597-E138</f>
        <v>5.3099999999517422E-4</v>
      </c>
      <c r="AH138" s="104">
        <f>219.1759-E138</f>
        <v>4.6100000000137697E-4</v>
      </c>
      <c r="AI138" s="105" t="s">
        <v>3</v>
      </c>
      <c r="AJ138" s="105" t="s">
        <v>564</v>
      </c>
      <c r="AK138" s="105">
        <v>-7.7499999999999997E-4</v>
      </c>
      <c r="AL138" s="105">
        <v>-4.5300000000000001E-4</v>
      </c>
      <c r="AM138" s="105" t="s">
        <v>564</v>
      </c>
      <c r="AN138" s="106" t="s">
        <v>564</v>
      </c>
      <c r="AO138" s="106" t="s">
        <v>564</v>
      </c>
      <c r="AP138" s="106" t="s">
        <v>564</v>
      </c>
      <c r="AQ138" s="106" t="s">
        <v>564</v>
      </c>
      <c r="AR138" s="106" t="s">
        <v>564</v>
      </c>
      <c r="AS138" s="107" t="s">
        <v>3</v>
      </c>
      <c r="AT138" s="107" t="s">
        <v>3</v>
      </c>
      <c r="AU138" s="107" t="s">
        <v>3</v>
      </c>
      <c r="AV138" s="107" t="s">
        <v>3</v>
      </c>
      <c r="AW138" s="108" t="s">
        <v>3</v>
      </c>
      <c r="AX138" s="108" t="s">
        <v>3</v>
      </c>
      <c r="AY138" s="109" t="s">
        <v>3</v>
      </c>
      <c r="AZ138" s="109" t="s">
        <v>3</v>
      </c>
      <c r="BA138" s="123" t="s">
        <v>3</v>
      </c>
    </row>
    <row r="139" spans="1:53" x14ac:dyDescent="0.25">
      <c r="A139" s="38">
        <v>136</v>
      </c>
      <c r="B139" s="139" t="s">
        <v>124</v>
      </c>
      <c r="C139" s="38" t="s">
        <v>139</v>
      </c>
      <c r="D139" s="38" t="s">
        <v>251</v>
      </c>
      <c r="E139" s="48">
        <v>205.15978899999999</v>
      </c>
      <c r="F139" s="102" t="s">
        <v>564</v>
      </c>
      <c r="G139" s="102" t="s">
        <v>564</v>
      </c>
      <c r="H139" s="102" t="s">
        <v>564</v>
      </c>
      <c r="I139" s="103" t="s">
        <v>3</v>
      </c>
      <c r="J139" s="103" t="s">
        <v>3</v>
      </c>
      <c r="K139" s="116" t="s">
        <v>3</v>
      </c>
      <c r="L139" s="97" t="s">
        <v>3</v>
      </c>
      <c r="M139" s="97" t="s">
        <v>3</v>
      </c>
      <c r="N139" s="97" t="s">
        <v>3</v>
      </c>
      <c r="O139" s="97" t="s">
        <v>3</v>
      </c>
      <c r="P139" s="97" t="s">
        <v>3</v>
      </c>
      <c r="Q139" s="97" t="s">
        <v>3</v>
      </c>
      <c r="R139" s="97" t="s">
        <v>3</v>
      </c>
      <c r="S139" s="97" t="s">
        <v>3</v>
      </c>
      <c r="T139" s="97" t="s">
        <v>3</v>
      </c>
      <c r="U139" s="97" t="s">
        <v>3</v>
      </c>
      <c r="V139" s="97" t="s">
        <v>3</v>
      </c>
      <c r="W139" s="101" t="s">
        <v>564</v>
      </c>
      <c r="X139" s="101" t="s">
        <v>564</v>
      </c>
      <c r="Y139" s="101" t="s">
        <v>564</v>
      </c>
      <c r="Z139" s="98" t="s">
        <v>3</v>
      </c>
      <c r="AA139" s="99">
        <f>205.15981-205.15979</f>
        <v>2.0000000006348273E-5</v>
      </c>
      <c r="AB139" s="99" t="s">
        <v>3</v>
      </c>
      <c r="AC139" s="100" t="s">
        <v>3</v>
      </c>
      <c r="AD139" s="100" t="s">
        <v>3</v>
      </c>
      <c r="AE139" s="104">
        <f>205.16053-E139</f>
        <v>7.4100000000498767E-4</v>
      </c>
      <c r="AF139" s="104">
        <f>205.16032-E139</f>
        <v>5.3100000002359593E-4</v>
      </c>
      <c r="AG139" s="104">
        <f>205.16044-E139</f>
        <v>6.5100000000484215E-4</v>
      </c>
      <c r="AH139" s="104">
        <f>205.1607-E139</f>
        <v>9.1100000000210457E-4</v>
      </c>
      <c r="AI139" s="105" t="s">
        <v>3</v>
      </c>
      <c r="AJ139" s="105" t="s">
        <v>564</v>
      </c>
      <c r="AK139" s="105">
        <v>-7.0299999999999996E-4</v>
      </c>
      <c r="AL139" s="105" t="s">
        <v>3</v>
      </c>
      <c r="AM139" s="105" t="s">
        <v>564</v>
      </c>
      <c r="AN139" s="106" t="s">
        <v>564</v>
      </c>
      <c r="AO139" s="106" t="s">
        <v>564</v>
      </c>
      <c r="AP139" s="106" t="s">
        <v>564</v>
      </c>
      <c r="AQ139" s="106" t="s">
        <v>564</v>
      </c>
      <c r="AR139" s="106" t="s">
        <v>564</v>
      </c>
      <c r="AS139" s="107" t="s">
        <v>3</v>
      </c>
      <c r="AT139" s="107" t="s">
        <v>3</v>
      </c>
      <c r="AU139" s="107" t="s">
        <v>3</v>
      </c>
      <c r="AV139" s="107" t="s">
        <v>3</v>
      </c>
      <c r="AW139" s="108" t="s">
        <v>3</v>
      </c>
      <c r="AX139" s="108" t="s">
        <v>3</v>
      </c>
      <c r="AY139" s="109" t="s">
        <v>3</v>
      </c>
      <c r="AZ139" s="109" t="s">
        <v>3</v>
      </c>
      <c r="BA139" s="123" t="s">
        <v>3</v>
      </c>
    </row>
    <row r="140" spans="1:53" x14ac:dyDescent="0.25">
      <c r="A140" s="38">
        <v>137</v>
      </c>
      <c r="B140" s="139" t="s">
        <v>124</v>
      </c>
      <c r="C140" s="38" t="s">
        <v>139</v>
      </c>
      <c r="D140" s="38" t="s">
        <v>251</v>
      </c>
      <c r="E140" s="48">
        <v>205.15978899999999</v>
      </c>
      <c r="F140" s="102" t="s">
        <v>564</v>
      </c>
      <c r="G140" s="102" t="s">
        <v>564</v>
      </c>
      <c r="H140" s="102" t="s">
        <v>564</v>
      </c>
      <c r="I140" s="103" t="s">
        <v>3</v>
      </c>
      <c r="J140" s="103" t="s">
        <v>3</v>
      </c>
      <c r="K140" s="116" t="s">
        <v>3</v>
      </c>
      <c r="L140" s="97" t="s">
        <v>3</v>
      </c>
      <c r="M140" s="97" t="s">
        <v>3</v>
      </c>
      <c r="N140" s="97" t="s">
        <v>3</v>
      </c>
      <c r="O140" s="97" t="s">
        <v>3</v>
      </c>
      <c r="P140" s="97" t="s">
        <v>3</v>
      </c>
      <c r="Q140" s="97" t="s">
        <v>3</v>
      </c>
      <c r="R140" s="97" t="s">
        <v>3</v>
      </c>
      <c r="S140" s="97" t="s">
        <v>3</v>
      </c>
      <c r="T140" s="97" t="s">
        <v>3</v>
      </c>
      <c r="U140" s="97" t="s">
        <v>3</v>
      </c>
      <c r="V140" s="97" t="s">
        <v>3</v>
      </c>
      <c r="W140" s="101" t="s">
        <v>564</v>
      </c>
      <c r="X140" s="101" t="s">
        <v>564</v>
      </c>
      <c r="Y140" s="101" t="s">
        <v>564</v>
      </c>
      <c r="Z140" s="98" t="s">
        <v>3</v>
      </c>
      <c r="AA140" s="99">
        <f>205.15981-205.15979</f>
        <v>2.0000000006348273E-5</v>
      </c>
      <c r="AB140" s="99" t="s">
        <v>3</v>
      </c>
      <c r="AC140" s="100" t="s">
        <v>3</v>
      </c>
      <c r="AD140" s="100" t="s">
        <v>3</v>
      </c>
      <c r="AE140" s="104">
        <f>205.16053-E140</f>
        <v>7.4100000000498767E-4</v>
      </c>
      <c r="AF140" s="104">
        <f>205.16032-E140</f>
        <v>5.3100000002359593E-4</v>
      </c>
      <c r="AG140" s="104">
        <f>205.16044-E140</f>
        <v>6.5100000000484215E-4</v>
      </c>
      <c r="AH140" s="104">
        <f>205.1607-E140</f>
        <v>9.1100000000210457E-4</v>
      </c>
      <c r="AI140" s="105" t="s">
        <v>3</v>
      </c>
      <c r="AJ140" s="105" t="s">
        <v>564</v>
      </c>
      <c r="AK140" s="105">
        <v>-7.0299999999999996E-4</v>
      </c>
      <c r="AL140" s="105" t="s">
        <v>3</v>
      </c>
      <c r="AM140" s="105" t="s">
        <v>564</v>
      </c>
      <c r="AN140" s="106" t="s">
        <v>564</v>
      </c>
      <c r="AO140" s="106" t="s">
        <v>564</v>
      </c>
      <c r="AP140" s="106" t="s">
        <v>564</v>
      </c>
      <c r="AQ140" s="106" t="s">
        <v>564</v>
      </c>
      <c r="AR140" s="106" t="s">
        <v>564</v>
      </c>
      <c r="AS140" s="107" t="s">
        <v>3</v>
      </c>
      <c r="AT140" s="107" t="s">
        <v>3</v>
      </c>
      <c r="AU140" s="107" t="s">
        <v>3</v>
      </c>
      <c r="AV140" s="107" t="s">
        <v>3</v>
      </c>
      <c r="AW140" s="108" t="s">
        <v>3</v>
      </c>
      <c r="AX140" s="108" t="s">
        <v>3</v>
      </c>
      <c r="AY140" s="109" t="s">
        <v>3</v>
      </c>
      <c r="AZ140" s="109" t="s">
        <v>3</v>
      </c>
      <c r="BA140" s="123" t="s">
        <v>3</v>
      </c>
    </row>
    <row r="141" spans="1:53" x14ac:dyDescent="0.25">
      <c r="A141" s="38">
        <v>138</v>
      </c>
      <c r="B141" s="139" t="s">
        <v>33</v>
      </c>
      <c r="C141" s="38" t="s">
        <v>139</v>
      </c>
      <c r="D141" s="38" t="s">
        <v>252</v>
      </c>
      <c r="E141" s="48">
        <v>227.107753</v>
      </c>
      <c r="F141" s="102" t="s">
        <v>564</v>
      </c>
      <c r="G141" s="102" t="s">
        <v>564</v>
      </c>
      <c r="H141" s="102" t="s">
        <v>564</v>
      </c>
      <c r="I141" s="103" t="s">
        <v>3</v>
      </c>
      <c r="J141" s="103" t="s">
        <v>3</v>
      </c>
      <c r="K141" s="116" t="s">
        <v>3</v>
      </c>
      <c r="L141" s="97" t="s">
        <v>3</v>
      </c>
      <c r="M141" s="97" t="s">
        <v>3</v>
      </c>
      <c r="N141" s="97" t="s">
        <v>3</v>
      </c>
      <c r="O141" s="97" t="s">
        <v>3</v>
      </c>
      <c r="P141" s="97" t="s">
        <v>3</v>
      </c>
      <c r="Q141" s="97" t="s">
        <v>3</v>
      </c>
      <c r="R141" s="97" t="s">
        <v>3</v>
      </c>
      <c r="S141" s="97" t="s">
        <v>3</v>
      </c>
      <c r="T141" s="97" t="s">
        <v>3</v>
      </c>
      <c r="U141" s="97" t="s">
        <v>3</v>
      </c>
      <c r="V141" s="97" t="s">
        <v>3</v>
      </c>
      <c r="W141" s="101" t="s">
        <v>564</v>
      </c>
      <c r="X141" s="101" t="s">
        <v>564</v>
      </c>
      <c r="Y141" s="101" t="s">
        <v>564</v>
      </c>
      <c r="Z141" s="98" t="s">
        <v>3</v>
      </c>
      <c r="AA141" s="99">
        <f>16.125*60</f>
        <v>967.5</v>
      </c>
      <c r="AB141" s="99" t="s">
        <v>3</v>
      </c>
      <c r="AC141" s="100" t="s">
        <v>3</v>
      </c>
      <c r="AD141" s="100" t="s">
        <v>3</v>
      </c>
      <c r="AE141" s="104">
        <f>227.10759-E141</f>
        <v>-1.630000000147902E-4</v>
      </c>
      <c r="AF141" s="104" t="s">
        <v>3</v>
      </c>
      <c r="AG141" s="104" t="s">
        <v>3</v>
      </c>
      <c r="AH141" s="104" t="s">
        <v>3</v>
      </c>
      <c r="AI141" s="105" t="s">
        <v>3</v>
      </c>
      <c r="AJ141" s="105" t="s">
        <v>564</v>
      </c>
      <c r="AK141" s="105">
        <v>-3.7199999999999999E-4</v>
      </c>
      <c r="AL141" s="105" t="s">
        <v>3</v>
      </c>
      <c r="AM141" s="105" t="s">
        <v>564</v>
      </c>
      <c r="AN141" s="106" t="s">
        <v>564</v>
      </c>
      <c r="AO141" s="106" t="s">
        <v>564</v>
      </c>
      <c r="AP141" s="106" t="s">
        <v>564</v>
      </c>
      <c r="AQ141" s="106" t="s">
        <v>564</v>
      </c>
      <c r="AR141" s="106" t="s">
        <v>564</v>
      </c>
      <c r="AS141" s="107" t="s">
        <v>3</v>
      </c>
      <c r="AT141" s="107" t="s">
        <v>3</v>
      </c>
      <c r="AU141" s="107" t="s">
        <v>3</v>
      </c>
      <c r="AV141" s="107" t="s">
        <v>3</v>
      </c>
      <c r="AW141" s="108" t="s">
        <v>3</v>
      </c>
      <c r="AX141" s="108" t="s">
        <v>3</v>
      </c>
      <c r="AY141" s="109" t="s">
        <v>3</v>
      </c>
      <c r="AZ141" s="109" t="s">
        <v>3</v>
      </c>
      <c r="BA141" s="123" t="s">
        <v>3</v>
      </c>
    </row>
    <row r="142" spans="1:53" x14ac:dyDescent="0.25">
      <c r="A142" s="38">
        <v>139</v>
      </c>
      <c r="B142" s="139" t="s">
        <v>34</v>
      </c>
      <c r="C142" s="38" t="s">
        <v>139</v>
      </c>
      <c r="D142" s="38" t="s">
        <v>253</v>
      </c>
      <c r="E142" s="48">
        <v>335.051222</v>
      </c>
      <c r="F142" s="102" t="s">
        <v>564</v>
      </c>
      <c r="G142" s="102" t="s">
        <v>564</v>
      </c>
      <c r="H142" s="102" t="s">
        <v>564</v>
      </c>
      <c r="I142" s="103" t="s">
        <v>3</v>
      </c>
      <c r="J142" s="103" t="s">
        <v>3</v>
      </c>
      <c r="K142" s="116" t="s">
        <v>3</v>
      </c>
      <c r="L142" s="97" t="s">
        <v>3</v>
      </c>
      <c r="M142" s="97" t="s">
        <v>3</v>
      </c>
      <c r="N142" s="97" t="s">
        <v>3</v>
      </c>
      <c r="O142" s="97" t="s">
        <v>3</v>
      </c>
      <c r="P142" s="97" t="s">
        <v>3</v>
      </c>
      <c r="Q142" s="97" t="s">
        <v>3</v>
      </c>
      <c r="R142" s="97" t="s">
        <v>3</v>
      </c>
      <c r="S142" s="97" t="s">
        <v>3</v>
      </c>
      <c r="T142" s="97" t="s">
        <v>3</v>
      </c>
      <c r="U142" s="97" t="s">
        <v>3</v>
      </c>
      <c r="V142" s="97" t="s">
        <v>3</v>
      </c>
      <c r="W142" s="101" t="s">
        <v>564</v>
      </c>
      <c r="X142" s="101" t="s">
        <v>564</v>
      </c>
      <c r="Y142" s="101" t="s">
        <v>564</v>
      </c>
      <c r="Z142" s="98" t="s">
        <v>3</v>
      </c>
      <c r="AA142" s="99" t="s">
        <v>3</v>
      </c>
      <c r="AB142" s="99" t="s">
        <v>3</v>
      </c>
      <c r="AC142" s="100" t="s">
        <v>3</v>
      </c>
      <c r="AD142" s="100" t="s">
        <v>3</v>
      </c>
      <c r="AE142" s="104" t="s">
        <v>3</v>
      </c>
      <c r="AF142" s="104" t="s">
        <v>3</v>
      </c>
      <c r="AG142" s="104" t="s">
        <v>3</v>
      </c>
      <c r="AH142" s="104" t="s">
        <v>3</v>
      </c>
      <c r="AI142" s="105" t="s">
        <v>3</v>
      </c>
      <c r="AJ142" s="105" t="s">
        <v>564</v>
      </c>
      <c r="AK142" s="105" t="s">
        <v>3</v>
      </c>
      <c r="AL142" s="105" t="s">
        <v>3</v>
      </c>
      <c r="AM142" s="105" t="s">
        <v>564</v>
      </c>
      <c r="AN142" s="106" t="s">
        <v>564</v>
      </c>
      <c r="AO142" s="106" t="s">
        <v>564</v>
      </c>
      <c r="AP142" s="106" t="s">
        <v>564</v>
      </c>
      <c r="AQ142" s="106" t="s">
        <v>564</v>
      </c>
      <c r="AR142" s="106" t="s">
        <v>564</v>
      </c>
      <c r="AS142" s="107" t="s">
        <v>3</v>
      </c>
      <c r="AT142" s="107" t="s">
        <v>3</v>
      </c>
      <c r="AU142" s="107" t="s">
        <v>3</v>
      </c>
      <c r="AV142" s="107" t="s">
        <v>3</v>
      </c>
      <c r="AW142" s="108" t="s">
        <v>3</v>
      </c>
      <c r="AX142" s="108" t="s">
        <v>3</v>
      </c>
      <c r="AY142" s="109" t="s">
        <v>3</v>
      </c>
      <c r="AZ142" s="109" t="s">
        <v>3</v>
      </c>
      <c r="BA142" s="123" t="s">
        <v>3</v>
      </c>
    </row>
    <row r="143" spans="1:53" x14ac:dyDescent="0.25">
      <c r="A143" s="38">
        <v>140</v>
      </c>
      <c r="B143" s="139" t="s">
        <v>35</v>
      </c>
      <c r="C143" s="38" t="s">
        <v>139</v>
      </c>
      <c r="D143" s="38" t="s">
        <v>254</v>
      </c>
      <c r="E143" s="48">
        <v>289.123403</v>
      </c>
      <c r="F143" s="102" t="s">
        <v>564</v>
      </c>
      <c r="G143" s="102" t="s">
        <v>564</v>
      </c>
      <c r="H143" s="102" t="s">
        <v>564</v>
      </c>
      <c r="I143" s="103" t="s">
        <v>3</v>
      </c>
      <c r="J143" s="103" t="s">
        <v>3</v>
      </c>
      <c r="K143" s="116" t="s">
        <v>3</v>
      </c>
      <c r="L143" s="97" t="s">
        <v>3</v>
      </c>
      <c r="M143" s="97" t="s">
        <v>3</v>
      </c>
      <c r="N143" s="97" t="s">
        <v>3</v>
      </c>
      <c r="O143" s="97" t="s">
        <v>3</v>
      </c>
      <c r="P143" s="97" t="s">
        <v>3</v>
      </c>
      <c r="Q143" s="97" t="s">
        <v>3</v>
      </c>
      <c r="R143" s="97" t="s">
        <v>3</v>
      </c>
      <c r="S143" s="97" t="s">
        <v>3</v>
      </c>
      <c r="T143" s="97" t="s">
        <v>3</v>
      </c>
      <c r="U143" s="97" t="s">
        <v>3</v>
      </c>
      <c r="V143" s="97" t="s">
        <v>3</v>
      </c>
      <c r="W143" s="101" t="s">
        <v>564</v>
      </c>
      <c r="X143" s="101" t="s">
        <v>564</v>
      </c>
      <c r="Y143" s="101" t="s">
        <v>564</v>
      </c>
      <c r="Z143" s="98" t="s">
        <v>3</v>
      </c>
      <c r="AA143" s="99" t="s">
        <v>3</v>
      </c>
      <c r="AB143" s="99" t="s">
        <v>3</v>
      </c>
      <c r="AC143" s="100" t="s">
        <v>3</v>
      </c>
      <c r="AD143" s="100" t="s">
        <v>3</v>
      </c>
      <c r="AE143" s="104" t="s">
        <v>3</v>
      </c>
      <c r="AF143" s="104" t="s">
        <v>3</v>
      </c>
      <c r="AG143" s="104" t="s">
        <v>3</v>
      </c>
      <c r="AH143" s="104" t="s">
        <v>3</v>
      </c>
      <c r="AI143" s="105" t="s">
        <v>3</v>
      </c>
      <c r="AJ143" s="105" t="s">
        <v>564</v>
      </c>
      <c r="AK143" s="105" t="s">
        <v>3</v>
      </c>
      <c r="AL143" s="105" t="s">
        <v>3</v>
      </c>
      <c r="AM143" s="105" t="s">
        <v>564</v>
      </c>
      <c r="AN143" s="106" t="s">
        <v>564</v>
      </c>
      <c r="AO143" s="106" t="s">
        <v>564</v>
      </c>
      <c r="AP143" s="106" t="s">
        <v>564</v>
      </c>
      <c r="AQ143" s="106" t="s">
        <v>564</v>
      </c>
      <c r="AR143" s="106" t="s">
        <v>564</v>
      </c>
      <c r="AS143" s="107" t="s">
        <v>3</v>
      </c>
      <c r="AT143" s="107" t="s">
        <v>3</v>
      </c>
      <c r="AU143" s="107" t="s">
        <v>3</v>
      </c>
      <c r="AV143" s="107" t="s">
        <v>3</v>
      </c>
      <c r="AW143" s="108" t="s">
        <v>3</v>
      </c>
      <c r="AX143" s="108" t="s">
        <v>3</v>
      </c>
      <c r="AY143" s="109" t="s">
        <v>3</v>
      </c>
      <c r="AZ143" s="109" t="s">
        <v>3</v>
      </c>
      <c r="BA143" s="123" t="s">
        <v>3</v>
      </c>
    </row>
    <row r="144" spans="1:53" x14ac:dyDescent="0.25">
      <c r="A144" s="38">
        <v>141</v>
      </c>
      <c r="B144" s="139" t="s">
        <v>36</v>
      </c>
      <c r="C144" s="38" t="s">
        <v>139</v>
      </c>
      <c r="D144" s="38" t="s">
        <v>255</v>
      </c>
      <c r="E144" s="48">
        <v>241.123403</v>
      </c>
      <c r="F144" s="102" t="s">
        <v>564</v>
      </c>
      <c r="G144" s="102" t="s">
        <v>564</v>
      </c>
      <c r="H144" s="102" t="s">
        <v>564</v>
      </c>
      <c r="I144" s="103" t="s">
        <v>3</v>
      </c>
      <c r="J144" s="103" t="s">
        <v>3</v>
      </c>
      <c r="K144" s="116" t="s">
        <v>3</v>
      </c>
      <c r="L144" s="97" t="s">
        <v>3</v>
      </c>
      <c r="M144" s="97" t="s">
        <v>3</v>
      </c>
      <c r="N144" s="97" t="s">
        <v>3</v>
      </c>
      <c r="O144" s="97" t="s">
        <v>3</v>
      </c>
      <c r="P144" s="97" t="s">
        <v>3</v>
      </c>
      <c r="Q144" s="97" t="s">
        <v>3</v>
      </c>
      <c r="R144" s="97" t="s">
        <v>3</v>
      </c>
      <c r="S144" s="97" t="s">
        <v>3</v>
      </c>
      <c r="T144" s="97" t="s">
        <v>3</v>
      </c>
      <c r="U144" s="97" t="s">
        <v>3</v>
      </c>
      <c r="V144" s="97" t="s">
        <v>3</v>
      </c>
      <c r="W144" s="101" t="s">
        <v>564</v>
      </c>
      <c r="X144" s="101" t="s">
        <v>564</v>
      </c>
      <c r="Y144" s="101" t="s">
        <v>564</v>
      </c>
      <c r="Z144" s="98" t="s">
        <v>3</v>
      </c>
      <c r="AA144" s="99" t="s">
        <v>3</v>
      </c>
      <c r="AB144" s="99" t="s">
        <v>3</v>
      </c>
      <c r="AC144" s="100" t="s">
        <v>3</v>
      </c>
      <c r="AD144" s="100" t="s">
        <v>3</v>
      </c>
      <c r="AE144" s="104" t="s">
        <v>3</v>
      </c>
      <c r="AF144" s="104" t="s">
        <v>3</v>
      </c>
      <c r="AG144" s="104" t="s">
        <v>3</v>
      </c>
      <c r="AH144" s="104" t="s">
        <v>3</v>
      </c>
      <c r="AI144" s="105" t="s">
        <v>3</v>
      </c>
      <c r="AJ144" s="105" t="s">
        <v>564</v>
      </c>
      <c r="AK144" s="105">
        <v>3.79E-4</v>
      </c>
      <c r="AL144" s="105" t="s">
        <v>3</v>
      </c>
      <c r="AM144" s="105" t="s">
        <v>564</v>
      </c>
      <c r="AN144" s="106" t="s">
        <v>564</v>
      </c>
      <c r="AO144" s="106" t="s">
        <v>564</v>
      </c>
      <c r="AP144" s="106" t="s">
        <v>564</v>
      </c>
      <c r="AQ144" s="106" t="s">
        <v>564</v>
      </c>
      <c r="AR144" s="106" t="s">
        <v>564</v>
      </c>
      <c r="AS144" s="107" t="s">
        <v>3</v>
      </c>
      <c r="AT144" s="107" t="s">
        <v>3</v>
      </c>
      <c r="AU144" s="107" t="s">
        <v>3</v>
      </c>
      <c r="AV144" s="107" t="s">
        <v>3</v>
      </c>
      <c r="AW144" s="108" t="s">
        <v>3</v>
      </c>
      <c r="AX144" s="108" t="s">
        <v>3</v>
      </c>
      <c r="AY144" s="109" t="s">
        <v>3</v>
      </c>
      <c r="AZ144" s="109" t="s">
        <v>3</v>
      </c>
      <c r="BA144" s="123" t="s">
        <v>3</v>
      </c>
    </row>
    <row r="145" spans="1:53" x14ac:dyDescent="0.25">
      <c r="A145" s="38">
        <v>142</v>
      </c>
      <c r="B145" s="139" t="s">
        <v>37</v>
      </c>
      <c r="C145" s="38" t="s">
        <v>139</v>
      </c>
      <c r="D145" s="38" t="s">
        <v>256</v>
      </c>
      <c r="E145" s="48">
        <v>351.13905299999999</v>
      </c>
      <c r="F145" s="102" t="s">
        <v>564</v>
      </c>
      <c r="G145" s="102" t="s">
        <v>564</v>
      </c>
      <c r="H145" s="102" t="s">
        <v>564</v>
      </c>
      <c r="I145" s="103" t="s">
        <v>3</v>
      </c>
      <c r="J145" s="103" t="s">
        <v>3</v>
      </c>
      <c r="K145" s="116" t="s">
        <v>3</v>
      </c>
      <c r="L145" s="97" t="s">
        <v>3</v>
      </c>
      <c r="M145" s="97">
        <f>351.1391-351.14</f>
        <v>-9.0000000000145519E-4</v>
      </c>
      <c r="N145" s="97">
        <f>351.1394-351.14</f>
        <v>-5.9999999996307452E-4</v>
      </c>
      <c r="O145" s="97">
        <f>351.13901-351.14</f>
        <v>-9.9000000000160071E-4</v>
      </c>
      <c r="P145" s="97">
        <f>351.13931-351.14</f>
        <v>-6.8999999996322003E-4</v>
      </c>
      <c r="Q145" s="97">
        <f>351.13919-351.14</f>
        <v>-8.1000000000130967E-4</v>
      </c>
      <c r="R145" s="97">
        <f>351.13919-351.14</f>
        <v>-8.1000000000130967E-4</v>
      </c>
      <c r="S145" s="97">
        <f>351.1391-351.14</f>
        <v>-9.0000000000145519E-4</v>
      </c>
      <c r="T145" s="97">
        <f>351.1394-351.14</f>
        <v>-5.9999999996307452E-4</v>
      </c>
      <c r="U145" s="97">
        <f>351.13919-351.14</f>
        <v>-8.1000000000130967E-4</v>
      </c>
      <c r="V145" s="97">
        <f>351.1391-351.14</f>
        <v>-9.0000000000145519E-4</v>
      </c>
      <c r="W145" s="101" t="s">
        <v>564</v>
      </c>
      <c r="X145" s="101" t="s">
        <v>564</v>
      </c>
      <c r="Y145" s="101" t="s">
        <v>564</v>
      </c>
      <c r="Z145" s="98" t="s">
        <v>3</v>
      </c>
      <c r="AA145" s="99" t="s">
        <v>3</v>
      </c>
      <c r="AB145" s="99" t="s">
        <v>3</v>
      </c>
      <c r="AC145" s="100" t="s">
        <v>3</v>
      </c>
      <c r="AD145" s="100" t="s">
        <v>3</v>
      </c>
      <c r="AE145" s="104" t="s">
        <v>3</v>
      </c>
      <c r="AF145" s="104" t="s">
        <v>3</v>
      </c>
      <c r="AG145" s="104" t="s">
        <v>3</v>
      </c>
      <c r="AH145" s="104" t="s">
        <v>3</v>
      </c>
      <c r="AI145" s="105" t="s">
        <v>3</v>
      </c>
      <c r="AJ145" s="105" t="s">
        <v>564</v>
      </c>
      <c r="AK145" s="105" t="s">
        <v>3</v>
      </c>
      <c r="AL145" s="105" t="s">
        <v>3</v>
      </c>
      <c r="AM145" s="105" t="s">
        <v>564</v>
      </c>
      <c r="AN145" s="106" t="s">
        <v>564</v>
      </c>
      <c r="AO145" s="106" t="s">
        <v>564</v>
      </c>
      <c r="AP145" s="106" t="s">
        <v>564</v>
      </c>
      <c r="AQ145" s="106" t="s">
        <v>564</v>
      </c>
      <c r="AR145" s="106" t="s">
        <v>564</v>
      </c>
      <c r="AS145" s="107" t="s">
        <v>3</v>
      </c>
      <c r="AT145" s="107" t="s">
        <v>3</v>
      </c>
      <c r="AU145" s="107" t="s">
        <v>3</v>
      </c>
      <c r="AV145" s="107" t="s">
        <v>3</v>
      </c>
      <c r="AW145" s="108" t="s">
        <v>3</v>
      </c>
      <c r="AX145" s="108" t="s">
        <v>3</v>
      </c>
      <c r="AY145" s="109" t="s">
        <v>3</v>
      </c>
      <c r="AZ145" s="109" t="s">
        <v>3</v>
      </c>
      <c r="BA145" s="123" t="s">
        <v>3</v>
      </c>
    </row>
    <row r="146" spans="1:53" x14ac:dyDescent="0.25">
      <c r="A146" s="38">
        <v>143</v>
      </c>
      <c r="B146" s="139" t="s">
        <v>38</v>
      </c>
      <c r="C146" s="38" t="s">
        <v>139</v>
      </c>
      <c r="D146" s="38" t="s">
        <v>257</v>
      </c>
      <c r="E146" s="48">
        <v>255.13905299999999</v>
      </c>
      <c r="F146" s="102" t="s">
        <v>564</v>
      </c>
      <c r="G146" s="102" t="s">
        <v>564</v>
      </c>
      <c r="H146" s="102" t="s">
        <v>564</v>
      </c>
      <c r="I146" s="103" t="s">
        <v>3</v>
      </c>
      <c r="J146" s="103" t="s">
        <v>3</v>
      </c>
      <c r="K146" s="116" t="s">
        <v>3</v>
      </c>
      <c r="L146" s="97" t="s">
        <v>3</v>
      </c>
      <c r="M146" s="97" t="s">
        <v>3</v>
      </c>
      <c r="N146" s="97" t="s">
        <v>3</v>
      </c>
      <c r="O146" s="97" t="s">
        <v>3</v>
      </c>
      <c r="P146" s="97" t="s">
        <v>3</v>
      </c>
      <c r="Q146" s="97" t="s">
        <v>3</v>
      </c>
      <c r="R146" s="97" t="s">
        <v>3</v>
      </c>
      <c r="S146" s="97" t="s">
        <v>3</v>
      </c>
      <c r="T146" s="97" t="s">
        <v>3</v>
      </c>
      <c r="U146" s="97" t="s">
        <v>3</v>
      </c>
      <c r="V146" s="97" t="s">
        <v>3</v>
      </c>
      <c r="W146" s="101" t="s">
        <v>564</v>
      </c>
      <c r="X146" s="101" t="s">
        <v>564</v>
      </c>
      <c r="Y146" s="101" t="s">
        <v>564</v>
      </c>
      <c r="Z146" s="98" t="s">
        <v>3</v>
      </c>
      <c r="AA146" s="99" t="s">
        <v>3</v>
      </c>
      <c r="AB146" s="99" t="s">
        <v>3</v>
      </c>
      <c r="AC146" s="100" t="s">
        <v>3</v>
      </c>
      <c r="AD146" s="100" t="s">
        <v>3</v>
      </c>
      <c r="AE146" s="104" t="s">
        <v>3</v>
      </c>
      <c r="AF146" s="104" t="s">
        <v>3</v>
      </c>
      <c r="AG146" s="104" t="s">
        <v>3</v>
      </c>
      <c r="AH146" s="104" t="s">
        <v>3</v>
      </c>
      <c r="AI146" s="105" t="s">
        <v>3</v>
      </c>
      <c r="AJ146" s="105" t="s">
        <v>564</v>
      </c>
      <c r="AK146" s="105" t="s">
        <v>3</v>
      </c>
      <c r="AL146" s="105" t="s">
        <v>3</v>
      </c>
      <c r="AM146" s="105" t="s">
        <v>564</v>
      </c>
      <c r="AN146" s="106" t="s">
        <v>564</v>
      </c>
      <c r="AO146" s="106" t="s">
        <v>564</v>
      </c>
      <c r="AP146" s="106" t="s">
        <v>564</v>
      </c>
      <c r="AQ146" s="106" t="s">
        <v>564</v>
      </c>
      <c r="AR146" s="106" t="s">
        <v>564</v>
      </c>
      <c r="AS146" s="107" t="s">
        <v>3</v>
      </c>
      <c r="AT146" s="107" t="s">
        <v>3</v>
      </c>
      <c r="AU146" s="107" t="s">
        <v>3</v>
      </c>
      <c r="AV146" s="107" t="s">
        <v>3</v>
      </c>
      <c r="AW146" s="108" t="s">
        <v>3</v>
      </c>
      <c r="AX146" s="108" t="s">
        <v>3</v>
      </c>
      <c r="AY146" s="109" t="s">
        <v>3</v>
      </c>
      <c r="AZ146" s="109" t="s">
        <v>3</v>
      </c>
      <c r="BA146" s="123" t="s">
        <v>3</v>
      </c>
    </row>
    <row r="147" spans="1:53" x14ac:dyDescent="0.25">
      <c r="A147" s="38">
        <v>144</v>
      </c>
      <c r="B147" s="139" t="s">
        <v>39</v>
      </c>
      <c r="C147" s="38" t="s">
        <v>139</v>
      </c>
      <c r="D147" s="38" t="s">
        <v>258</v>
      </c>
      <c r="E147" s="48">
        <v>213.09210300000001</v>
      </c>
      <c r="F147" s="102" t="s">
        <v>564</v>
      </c>
      <c r="G147" s="102" t="s">
        <v>564</v>
      </c>
      <c r="H147" s="102" t="s">
        <v>564</v>
      </c>
      <c r="I147" s="103" t="s">
        <v>3</v>
      </c>
      <c r="J147" s="103" t="s">
        <v>3</v>
      </c>
      <c r="K147" s="116" t="s">
        <v>3</v>
      </c>
      <c r="L147" s="97" t="s">
        <v>3</v>
      </c>
      <c r="M147" s="97">
        <f>213.0918-213.0921</f>
        <v>-2.9999999998153726E-4</v>
      </c>
      <c r="N147" s="97">
        <f>213.09171-213.0921</f>
        <v>-3.8999999998168278E-4</v>
      </c>
      <c r="O147" s="97">
        <f>213.0919-213.0921</f>
        <v>-1.999999999782176E-4</v>
      </c>
      <c r="P147" s="97">
        <f>213.0918-213.0921</f>
        <v>-2.9999999998153726E-4</v>
      </c>
      <c r="Q147" s="97">
        <f>213.0918-213.0921</f>
        <v>-2.9999999998153726E-4</v>
      </c>
      <c r="R147" s="97">
        <f>213.09171-213.0921</f>
        <v>-3.8999999998168278E-4</v>
      </c>
      <c r="S147" s="97">
        <f>213.0918-213.0921</f>
        <v>-2.9999999998153726E-4</v>
      </c>
      <c r="T147" s="97">
        <f>213.0918-213.0921</f>
        <v>-2.9999999998153726E-4</v>
      </c>
      <c r="U147" s="97">
        <f>213.09171-213.0921</f>
        <v>-3.8999999998168278E-4</v>
      </c>
      <c r="V147" s="97">
        <f>213.0916-213.0921</f>
        <v>-4.9999999998817657E-4</v>
      </c>
      <c r="W147" s="101" t="s">
        <v>564</v>
      </c>
      <c r="X147" s="101" t="s">
        <v>564</v>
      </c>
      <c r="Y147" s="101" t="s">
        <v>564</v>
      </c>
      <c r="Z147" s="98" t="s">
        <v>3</v>
      </c>
      <c r="AA147" s="99" t="s">
        <v>3</v>
      </c>
      <c r="AB147" s="99" t="s">
        <v>3</v>
      </c>
      <c r="AC147" s="100" t="s">
        <v>3</v>
      </c>
      <c r="AD147" s="100" t="s">
        <v>3</v>
      </c>
      <c r="AE147" s="104" t="s">
        <v>3</v>
      </c>
      <c r="AF147" s="104" t="s">
        <v>3</v>
      </c>
      <c r="AG147" s="104" t="s">
        <v>3</v>
      </c>
      <c r="AH147" s="104" t="s">
        <v>3</v>
      </c>
      <c r="AI147" s="105" t="s">
        <v>3</v>
      </c>
      <c r="AJ147" s="105" t="s">
        <v>564</v>
      </c>
      <c r="AK147" s="105" t="s">
        <v>3</v>
      </c>
      <c r="AL147" s="105" t="s">
        <v>3</v>
      </c>
      <c r="AM147" s="105" t="s">
        <v>564</v>
      </c>
      <c r="AN147" s="106" t="s">
        <v>564</v>
      </c>
      <c r="AO147" s="106" t="s">
        <v>564</v>
      </c>
      <c r="AP147" s="106" t="s">
        <v>564</v>
      </c>
      <c r="AQ147" s="106" t="s">
        <v>564</v>
      </c>
      <c r="AR147" s="106" t="s">
        <v>564</v>
      </c>
      <c r="AS147" s="107" t="s">
        <v>3</v>
      </c>
      <c r="AT147" s="107" t="s">
        <v>3</v>
      </c>
      <c r="AU147" s="107" t="s">
        <v>3</v>
      </c>
      <c r="AV147" s="107" t="s">
        <v>3</v>
      </c>
      <c r="AW147" s="108" t="s">
        <v>3</v>
      </c>
      <c r="AX147" s="108" t="s">
        <v>3</v>
      </c>
      <c r="AY147" s="109" t="s">
        <v>3</v>
      </c>
      <c r="AZ147" s="109" t="s">
        <v>3</v>
      </c>
      <c r="BA147" s="123" t="s">
        <v>3</v>
      </c>
    </row>
    <row r="148" spans="1:53" x14ac:dyDescent="0.25">
      <c r="A148" s="38">
        <v>145</v>
      </c>
      <c r="B148" s="139" t="s">
        <v>272</v>
      </c>
      <c r="C148" s="38" t="s">
        <v>139</v>
      </c>
      <c r="D148" s="38" t="s">
        <v>259</v>
      </c>
      <c r="E148" s="48">
        <v>199.07645299999999</v>
      </c>
      <c r="F148" s="102" t="s">
        <v>564</v>
      </c>
      <c r="G148" s="102" t="s">
        <v>564</v>
      </c>
      <c r="H148" s="102" t="s">
        <v>564</v>
      </c>
      <c r="I148" s="103" t="s">
        <v>3</v>
      </c>
      <c r="J148" s="103" t="s">
        <v>3</v>
      </c>
      <c r="K148" s="116" t="s">
        <v>3</v>
      </c>
      <c r="L148" s="97">
        <f>199.07561-199.0765</f>
        <v>-8.8999999999828106E-4</v>
      </c>
      <c r="M148" s="97">
        <f>199.0764-199.0765</f>
        <v>-1.0000000000331966E-4</v>
      </c>
      <c r="N148" s="97">
        <f>199.0762-199.0765</f>
        <v>-3.0000000000995897E-4</v>
      </c>
      <c r="O148" s="97">
        <f>199.0761-199.0765</f>
        <v>-4.0000000001327862E-4</v>
      </c>
      <c r="P148" s="97">
        <f>199.07629-199.0765</f>
        <v>-2.1000000000981345E-4</v>
      </c>
      <c r="Q148" s="97">
        <f>199.07629-199.0765</f>
        <v>-2.1000000000981345E-4</v>
      </c>
      <c r="R148" s="97">
        <f>199.0762-199.0765</f>
        <v>-3.0000000000995897E-4</v>
      </c>
      <c r="S148" s="97">
        <f>199.076-199.0765</f>
        <v>-5.0000000001659828E-4</v>
      </c>
      <c r="T148" s="97">
        <f>199.0764-199.0765</f>
        <v>-1.0000000000331966E-4</v>
      </c>
      <c r="U148" s="97">
        <f>199.076-199.0765</f>
        <v>-5.0000000001659828E-4</v>
      </c>
      <c r="V148" s="97">
        <f>199.0759-199.0765</f>
        <v>-6.0000000001991793E-4</v>
      </c>
      <c r="W148" s="101" t="s">
        <v>564</v>
      </c>
      <c r="X148" s="101" t="s">
        <v>564</v>
      </c>
      <c r="Y148" s="101" t="s">
        <v>564</v>
      </c>
      <c r="Z148" s="98" t="s">
        <v>3</v>
      </c>
      <c r="AA148" s="99" t="s">
        <v>3</v>
      </c>
      <c r="AB148" s="99" t="s">
        <v>3</v>
      </c>
      <c r="AC148" s="100" t="s">
        <v>3</v>
      </c>
      <c r="AD148" s="100" t="s">
        <v>3</v>
      </c>
      <c r="AE148" s="104" t="s">
        <v>3</v>
      </c>
      <c r="AF148" s="104" t="s">
        <v>3</v>
      </c>
      <c r="AG148" s="104" t="s">
        <v>3</v>
      </c>
      <c r="AH148" s="104" t="s">
        <v>3</v>
      </c>
      <c r="AI148" s="105" t="s">
        <v>3</v>
      </c>
      <c r="AJ148" s="105" t="s">
        <v>564</v>
      </c>
      <c r="AK148" s="105" t="s">
        <v>3</v>
      </c>
      <c r="AL148" s="105" t="s">
        <v>3</v>
      </c>
      <c r="AM148" s="105" t="s">
        <v>564</v>
      </c>
      <c r="AN148" s="106" t="s">
        <v>564</v>
      </c>
      <c r="AO148" s="106" t="s">
        <v>564</v>
      </c>
      <c r="AP148" s="106" t="s">
        <v>564</v>
      </c>
      <c r="AQ148" s="106" t="s">
        <v>564</v>
      </c>
      <c r="AR148" s="106" t="s">
        <v>564</v>
      </c>
      <c r="AS148" s="107" t="s">
        <v>3</v>
      </c>
      <c r="AT148" s="107" t="s">
        <v>3</v>
      </c>
      <c r="AU148" s="107" t="s">
        <v>3</v>
      </c>
      <c r="AV148" s="107" t="s">
        <v>3</v>
      </c>
      <c r="AW148" s="108" t="s">
        <v>3</v>
      </c>
      <c r="AX148" s="108" t="s">
        <v>3</v>
      </c>
      <c r="AY148" s="109" t="s">
        <v>3</v>
      </c>
      <c r="AZ148" s="109" t="s">
        <v>3</v>
      </c>
      <c r="BA148" s="123" t="s">
        <v>3</v>
      </c>
    </row>
    <row r="149" spans="1:53" x14ac:dyDescent="0.25">
      <c r="A149" s="38">
        <v>146</v>
      </c>
      <c r="B149" s="139" t="s">
        <v>273</v>
      </c>
      <c r="C149" s="38" t="s">
        <v>139</v>
      </c>
      <c r="D149" s="38" t="s">
        <v>259</v>
      </c>
      <c r="E149" s="48">
        <v>199.07645299999999</v>
      </c>
      <c r="F149" s="102" t="s">
        <v>564</v>
      </c>
      <c r="G149" s="102" t="s">
        <v>564</v>
      </c>
      <c r="H149" s="102" t="s">
        <v>564</v>
      </c>
      <c r="I149" s="103" t="s">
        <v>3</v>
      </c>
      <c r="J149" s="103" t="s">
        <v>3</v>
      </c>
      <c r="K149" s="116" t="s">
        <v>3</v>
      </c>
      <c r="L149" s="97">
        <f>199.07561-199.0765</f>
        <v>-8.8999999999828106E-4</v>
      </c>
      <c r="M149" s="97">
        <f>199.0764-199.0765</f>
        <v>-1.0000000000331966E-4</v>
      </c>
      <c r="N149" s="97">
        <f>199.0762-199.0765</f>
        <v>-3.0000000000995897E-4</v>
      </c>
      <c r="O149" s="97">
        <f>199.0761-199.0765</f>
        <v>-4.0000000001327862E-4</v>
      </c>
      <c r="P149" s="97">
        <f>199.07629-199.0765</f>
        <v>-2.1000000000981345E-4</v>
      </c>
      <c r="Q149" s="97">
        <f>199.07629-199.0765</f>
        <v>-2.1000000000981345E-4</v>
      </c>
      <c r="R149" s="97">
        <f>199.0762-199.0765</f>
        <v>-3.0000000000995897E-4</v>
      </c>
      <c r="S149" s="97">
        <f>199.076-199.0765</f>
        <v>-5.0000000001659828E-4</v>
      </c>
      <c r="T149" s="97">
        <f>199.0764-199.0765</f>
        <v>-1.0000000000331966E-4</v>
      </c>
      <c r="U149" s="97">
        <f>199.076-199.0765</f>
        <v>-5.0000000001659828E-4</v>
      </c>
      <c r="V149" s="97">
        <f>199.0759-199.0765</f>
        <v>-6.0000000001991793E-4</v>
      </c>
      <c r="W149" s="101" t="s">
        <v>564</v>
      </c>
      <c r="X149" s="101" t="s">
        <v>564</v>
      </c>
      <c r="Y149" s="101" t="s">
        <v>564</v>
      </c>
      <c r="Z149" s="98" t="s">
        <v>3</v>
      </c>
      <c r="AA149" s="99" t="s">
        <v>3</v>
      </c>
      <c r="AB149" s="99" t="s">
        <v>3</v>
      </c>
      <c r="AC149" s="100" t="s">
        <v>3</v>
      </c>
      <c r="AD149" s="100" t="s">
        <v>3</v>
      </c>
      <c r="AE149" s="104" t="s">
        <v>3</v>
      </c>
      <c r="AF149" s="104" t="s">
        <v>3</v>
      </c>
      <c r="AG149" s="104" t="s">
        <v>3</v>
      </c>
      <c r="AH149" s="104" t="s">
        <v>3</v>
      </c>
      <c r="AI149" s="105" t="s">
        <v>3</v>
      </c>
      <c r="AJ149" s="105" t="s">
        <v>564</v>
      </c>
      <c r="AK149" s="105" t="s">
        <v>3</v>
      </c>
      <c r="AL149" s="105" t="s">
        <v>3</v>
      </c>
      <c r="AM149" s="105" t="s">
        <v>564</v>
      </c>
      <c r="AN149" s="106" t="s">
        <v>564</v>
      </c>
      <c r="AO149" s="106" t="s">
        <v>564</v>
      </c>
      <c r="AP149" s="106" t="s">
        <v>564</v>
      </c>
      <c r="AQ149" s="106" t="s">
        <v>564</v>
      </c>
      <c r="AR149" s="106" t="s">
        <v>564</v>
      </c>
      <c r="AS149" s="107" t="s">
        <v>3</v>
      </c>
      <c r="AT149" s="107" t="s">
        <v>3</v>
      </c>
      <c r="AU149" s="107" t="s">
        <v>3</v>
      </c>
      <c r="AV149" s="107" t="s">
        <v>3</v>
      </c>
      <c r="AW149" s="108" t="s">
        <v>3</v>
      </c>
      <c r="AX149" s="108" t="s">
        <v>3</v>
      </c>
      <c r="AY149" s="109" t="s">
        <v>3</v>
      </c>
      <c r="AZ149" s="109" t="s">
        <v>3</v>
      </c>
      <c r="BA149" s="123" t="s">
        <v>3</v>
      </c>
    </row>
    <row r="150" spans="1:53" x14ac:dyDescent="0.25">
      <c r="A150" s="38">
        <v>147</v>
      </c>
      <c r="B150" s="139" t="s">
        <v>40</v>
      </c>
      <c r="C150" s="38" t="s">
        <v>139</v>
      </c>
      <c r="D150" s="38" t="s">
        <v>260</v>
      </c>
      <c r="E150" s="48">
        <v>349.123403</v>
      </c>
      <c r="F150" s="102" t="s">
        <v>564</v>
      </c>
      <c r="G150" s="102" t="s">
        <v>564</v>
      </c>
      <c r="H150" s="102" t="s">
        <v>564</v>
      </c>
      <c r="I150" s="103" t="s">
        <v>3</v>
      </c>
      <c r="J150" s="103" t="s">
        <v>3</v>
      </c>
      <c r="K150" s="116" t="s">
        <v>3</v>
      </c>
      <c r="L150" s="97" t="s">
        <v>3</v>
      </c>
      <c r="M150" s="97">
        <f>349.12341-349.1234</f>
        <v>9.9999999747524271E-6</v>
      </c>
      <c r="N150" s="97">
        <f>349.12329-349.1234</f>
        <v>-1.1000000000649379E-4</v>
      </c>
      <c r="O150" s="97">
        <f>349.1235-349.1234</f>
        <v>9.9999999974897946E-5</v>
      </c>
      <c r="P150" s="97">
        <f>349.12341-349.1234</f>
        <v>9.9999999747524271E-6</v>
      </c>
      <c r="Q150" s="97">
        <f>349.12341-349.1234</f>
        <v>9.9999999747524271E-6</v>
      </c>
      <c r="R150" s="97">
        <f>349.12341-349.1234</f>
        <v>9.9999999747524271E-6</v>
      </c>
      <c r="S150" s="97" t="s">
        <v>3</v>
      </c>
      <c r="T150" s="97">
        <f>349.1236-349.1234</f>
        <v>2.0000000000663931E-4</v>
      </c>
      <c r="U150" s="97">
        <f>349.1232-349.1234</f>
        <v>-2.0000000000663931E-4</v>
      </c>
      <c r="V150" s="97">
        <v>0</v>
      </c>
      <c r="W150" s="101" t="s">
        <v>564</v>
      </c>
      <c r="X150" s="101" t="s">
        <v>564</v>
      </c>
      <c r="Y150" s="101" t="s">
        <v>564</v>
      </c>
      <c r="Z150" s="98" t="s">
        <v>3</v>
      </c>
      <c r="AA150" s="99" t="s">
        <v>3</v>
      </c>
      <c r="AB150" s="99" t="s">
        <v>3</v>
      </c>
      <c r="AC150" s="100" t="s">
        <v>3</v>
      </c>
      <c r="AD150" s="100" t="s">
        <v>3</v>
      </c>
      <c r="AE150" s="104" t="s">
        <v>3</v>
      </c>
      <c r="AF150" s="104" t="s">
        <v>3</v>
      </c>
      <c r="AG150" s="104" t="s">
        <v>3</v>
      </c>
      <c r="AH150" s="104" t="s">
        <v>3</v>
      </c>
      <c r="AI150" s="105" t="s">
        <v>3</v>
      </c>
      <c r="AJ150" s="105" t="s">
        <v>564</v>
      </c>
      <c r="AK150" s="105" t="s">
        <v>3</v>
      </c>
      <c r="AL150" s="105" t="s">
        <v>3</v>
      </c>
      <c r="AM150" s="105" t="s">
        <v>564</v>
      </c>
      <c r="AN150" s="106" t="s">
        <v>564</v>
      </c>
      <c r="AO150" s="106" t="s">
        <v>564</v>
      </c>
      <c r="AP150" s="106" t="s">
        <v>564</v>
      </c>
      <c r="AQ150" s="106" t="s">
        <v>564</v>
      </c>
      <c r="AR150" s="106" t="s">
        <v>564</v>
      </c>
      <c r="AS150" s="107" t="s">
        <v>3</v>
      </c>
      <c r="AT150" s="107" t="s">
        <v>3</v>
      </c>
      <c r="AU150" s="107" t="s">
        <v>3</v>
      </c>
      <c r="AV150" s="107" t="s">
        <v>3</v>
      </c>
      <c r="AW150" s="108" t="s">
        <v>3</v>
      </c>
      <c r="AX150" s="108" t="s">
        <v>3</v>
      </c>
      <c r="AY150" s="109" t="s">
        <v>3</v>
      </c>
      <c r="AZ150" s="109" t="s">
        <v>3</v>
      </c>
      <c r="BA150" s="123" t="s">
        <v>3</v>
      </c>
    </row>
    <row r="151" spans="1:53" x14ac:dyDescent="0.25">
      <c r="A151" s="38">
        <v>148</v>
      </c>
      <c r="B151" s="139" t="s">
        <v>41</v>
      </c>
      <c r="C151" s="38" t="s">
        <v>139</v>
      </c>
      <c r="D151" s="38" t="s">
        <v>261</v>
      </c>
      <c r="E151" s="48">
        <v>311.20165400000002</v>
      </c>
      <c r="F151" s="102" t="s">
        <v>564</v>
      </c>
      <c r="G151" s="102" t="s">
        <v>564</v>
      </c>
      <c r="H151" s="102" t="s">
        <v>564</v>
      </c>
      <c r="I151" s="103" t="s">
        <v>3</v>
      </c>
      <c r="J151" s="103" t="s">
        <v>3</v>
      </c>
      <c r="K151" s="116" t="s">
        <v>3</v>
      </c>
      <c r="L151" s="97" t="s">
        <v>3</v>
      </c>
      <c r="M151" s="97" t="s">
        <v>3</v>
      </c>
      <c r="N151" s="97" t="s">
        <v>3</v>
      </c>
      <c r="O151" s="97" t="s">
        <v>3</v>
      </c>
      <c r="P151" s="97" t="s">
        <v>3</v>
      </c>
      <c r="Q151" s="97" t="s">
        <v>3</v>
      </c>
      <c r="R151" s="97" t="s">
        <v>3</v>
      </c>
      <c r="S151" s="97" t="s">
        <v>3</v>
      </c>
      <c r="T151" s="97" t="s">
        <v>3</v>
      </c>
      <c r="U151" s="97" t="s">
        <v>3</v>
      </c>
      <c r="V151" s="97" t="s">
        <v>3</v>
      </c>
      <c r="W151" s="101" t="s">
        <v>564</v>
      </c>
      <c r="X151" s="101" t="s">
        <v>564</v>
      </c>
      <c r="Y151" s="101" t="s">
        <v>564</v>
      </c>
      <c r="Z151" s="98" t="s">
        <v>3</v>
      </c>
      <c r="AA151" s="99" t="s">
        <v>3</v>
      </c>
      <c r="AB151" s="99" t="s">
        <v>3</v>
      </c>
      <c r="AC151" s="100" t="s">
        <v>3</v>
      </c>
      <c r="AD151" s="100" t="s">
        <v>3</v>
      </c>
      <c r="AE151" s="104" t="s">
        <v>3</v>
      </c>
      <c r="AF151" s="104" t="s">
        <v>3</v>
      </c>
      <c r="AG151" s="104">
        <f>311.20194-E151</f>
        <v>2.8599999996004044E-4</v>
      </c>
      <c r="AH151" s="104" t="s">
        <v>3</v>
      </c>
      <c r="AI151" s="105" t="s">
        <v>3</v>
      </c>
      <c r="AJ151" s="105" t="s">
        <v>564</v>
      </c>
      <c r="AK151" s="105" t="s">
        <v>3</v>
      </c>
      <c r="AL151" s="105" t="s">
        <v>3</v>
      </c>
      <c r="AM151" s="105" t="s">
        <v>564</v>
      </c>
      <c r="AN151" s="106" t="s">
        <v>564</v>
      </c>
      <c r="AO151" s="106" t="s">
        <v>564</v>
      </c>
      <c r="AP151" s="106" t="s">
        <v>564</v>
      </c>
      <c r="AQ151" s="106" t="s">
        <v>564</v>
      </c>
      <c r="AR151" s="106" t="s">
        <v>564</v>
      </c>
      <c r="AS151" s="107" t="s">
        <v>3</v>
      </c>
      <c r="AT151" s="107" t="s">
        <v>3</v>
      </c>
      <c r="AU151" s="107" t="s">
        <v>3</v>
      </c>
      <c r="AV151" s="107" t="s">
        <v>3</v>
      </c>
      <c r="AW151" s="108" t="s">
        <v>3</v>
      </c>
      <c r="AX151" s="108" t="s">
        <v>3</v>
      </c>
      <c r="AY151" s="109" t="s">
        <v>3</v>
      </c>
      <c r="AZ151" s="109" t="s">
        <v>3</v>
      </c>
      <c r="BA151" s="123" t="s">
        <v>3</v>
      </c>
    </row>
    <row r="152" spans="1:53" x14ac:dyDescent="0.25">
      <c r="A152" s="38">
        <v>149</v>
      </c>
      <c r="B152" s="139" t="s">
        <v>42</v>
      </c>
      <c r="C152" s="38" t="s">
        <v>139</v>
      </c>
      <c r="D152" s="38" t="s">
        <v>262</v>
      </c>
      <c r="E152" s="48">
        <v>345.18600400000003</v>
      </c>
      <c r="F152" s="102" t="s">
        <v>564</v>
      </c>
      <c r="G152" s="102" t="s">
        <v>564</v>
      </c>
      <c r="H152" s="102" t="s">
        <v>564</v>
      </c>
      <c r="I152" s="103" t="s">
        <v>3</v>
      </c>
      <c r="J152" s="103" t="s">
        <v>3</v>
      </c>
      <c r="K152" s="116" t="s">
        <v>3</v>
      </c>
      <c r="L152" s="97" t="s">
        <v>3</v>
      </c>
      <c r="M152" s="97" t="s">
        <v>3</v>
      </c>
      <c r="N152" s="97" t="s">
        <v>3</v>
      </c>
      <c r="O152" s="97" t="s">
        <v>3</v>
      </c>
      <c r="P152" s="97" t="s">
        <v>3</v>
      </c>
      <c r="Q152" s="97" t="s">
        <v>3</v>
      </c>
      <c r="R152" s="97" t="s">
        <v>3</v>
      </c>
      <c r="S152" s="97" t="s">
        <v>3</v>
      </c>
      <c r="T152" s="97" t="s">
        <v>3</v>
      </c>
      <c r="U152" s="97" t="s">
        <v>3</v>
      </c>
      <c r="V152" s="97" t="s">
        <v>3</v>
      </c>
      <c r="W152" s="101" t="s">
        <v>564</v>
      </c>
      <c r="X152" s="101" t="s">
        <v>564</v>
      </c>
      <c r="Y152" s="101" t="s">
        <v>564</v>
      </c>
      <c r="Z152" s="98" t="s">
        <v>3</v>
      </c>
      <c r="AA152" s="99" t="s">
        <v>3</v>
      </c>
      <c r="AB152" s="99" t="s">
        <v>3</v>
      </c>
      <c r="AC152" s="100" t="s">
        <v>3</v>
      </c>
      <c r="AD152" s="100" t="s">
        <v>3</v>
      </c>
      <c r="AE152" s="104" t="s">
        <v>3</v>
      </c>
      <c r="AF152" s="104" t="s">
        <v>3</v>
      </c>
      <c r="AG152" s="104" t="s">
        <v>3</v>
      </c>
      <c r="AH152" s="104" t="s">
        <v>3</v>
      </c>
      <c r="AI152" s="105" t="s">
        <v>3</v>
      </c>
      <c r="AJ152" s="105" t="s">
        <v>564</v>
      </c>
      <c r="AK152" s="105" t="s">
        <v>3</v>
      </c>
      <c r="AL152" s="105" t="s">
        <v>3</v>
      </c>
      <c r="AM152" s="105" t="s">
        <v>564</v>
      </c>
      <c r="AN152" s="106" t="s">
        <v>564</v>
      </c>
      <c r="AO152" s="106" t="s">
        <v>564</v>
      </c>
      <c r="AP152" s="106" t="s">
        <v>564</v>
      </c>
      <c r="AQ152" s="106" t="s">
        <v>564</v>
      </c>
      <c r="AR152" s="106" t="s">
        <v>564</v>
      </c>
      <c r="AS152" s="107" t="s">
        <v>3</v>
      </c>
      <c r="AT152" s="107" t="s">
        <v>3</v>
      </c>
      <c r="AU152" s="107" t="s">
        <v>3</v>
      </c>
      <c r="AV152" s="107" t="s">
        <v>3</v>
      </c>
      <c r="AW152" s="108" t="s">
        <v>3</v>
      </c>
      <c r="AX152" s="108" t="s">
        <v>3</v>
      </c>
      <c r="AY152" s="109" t="s">
        <v>3</v>
      </c>
      <c r="AZ152" s="109" t="s">
        <v>3</v>
      </c>
      <c r="BA152" s="123" t="s">
        <v>3</v>
      </c>
    </row>
    <row r="153" spans="1:53" x14ac:dyDescent="0.25">
      <c r="A153" s="38">
        <v>150</v>
      </c>
      <c r="B153" s="139" t="s">
        <v>43</v>
      </c>
      <c r="C153" s="38" t="s">
        <v>139</v>
      </c>
      <c r="D153" s="38" t="s">
        <v>262</v>
      </c>
      <c r="E153" s="48">
        <v>345.18600400000003</v>
      </c>
      <c r="F153" s="102" t="s">
        <v>564</v>
      </c>
      <c r="G153" s="102" t="s">
        <v>564</v>
      </c>
      <c r="H153" s="102" t="s">
        <v>564</v>
      </c>
      <c r="I153" s="103" t="s">
        <v>3</v>
      </c>
      <c r="J153" s="103" t="s">
        <v>3</v>
      </c>
      <c r="K153" s="116" t="s">
        <v>3</v>
      </c>
      <c r="L153" s="97" t="s">
        <v>3</v>
      </c>
      <c r="M153" s="97" t="s">
        <v>3</v>
      </c>
      <c r="N153" s="97" t="s">
        <v>3</v>
      </c>
      <c r="O153" s="97" t="s">
        <v>3</v>
      </c>
      <c r="P153" s="97" t="s">
        <v>3</v>
      </c>
      <c r="Q153" s="97" t="s">
        <v>3</v>
      </c>
      <c r="R153" s="97" t="s">
        <v>3</v>
      </c>
      <c r="S153" s="97" t="s">
        <v>3</v>
      </c>
      <c r="T153" s="97" t="s">
        <v>3</v>
      </c>
      <c r="U153" s="97" t="s">
        <v>3</v>
      </c>
      <c r="V153" s="97" t="s">
        <v>3</v>
      </c>
      <c r="W153" s="101" t="s">
        <v>564</v>
      </c>
      <c r="X153" s="101" t="s">
        <v>564</v>
      </c>
      <c r="Y153" s="101" t="s">
        <v>564</v>
      </c>
      <c r="Z153" s="98" t="s">
        <v>3</v>
      </c>
      <c r="AA153" s="99" t="s">
        <v>3</v>
      </c>
      <c r="AB153" s="99" t="s">
        <v>3</v>
      </c>
      <c r="AC153" s="100" t="s">
        <v>3</v>
      </c>
      <c r="AD153" s="100" t="s">
        <v>3</v>
      </c>
      <c r="AE153" s="104" t="s">
        <v>3</v>
      </c>
      <c r="AF153" s="104" t="s">
        <v>3</v>
      </c>
      <c r="AG153" s="104" t="s">
        <v>3</v>
      </c>
      <c r="AH153" s="104" t="s">
        <v>3</v>
      </c>
      <c r="AI153" s="105" t="s">
        <v>3</v>
      </c>
      <c r="AJ153" s="105" t="s">
        <v>564</v>
      </c>
      <c r="AK153" s="105" t="s">
        <v>3</v>
      </c>
      <c r="AL153" s="105" t="s">
        <v>3</v>
      </c>
      <c r="AM153" s="105" t="s">
        <v>564</v>
      </c>
      <c r="AN153" s="106" t="s">
        <v>564</v>
      </c>
      <c r="AO153" s="106" t="s">
        <v>564</v>
      </c>
      <c r="AP153" s="106" t="s">
        <v>564</v>
      </c>
      <c r="AQ153" s="106" t="s">
        <v>564</v>
      </c>
      <c r="AR153" s="106" t="s">
        <v>564</v>
      </c>
      <c r="AS153" s="107" t="s">
        <v>3</v>
      </c>
      <c r="AT153" s="107" t="s">
        <v>3</v>
      </c>
      <c r="AU153" s="107" t="s">
        <v>3</v>
      </c>
      <c r="AV153" s="107" t="s">
        <v>3</v>
      </c>
      <c r="AW153" s="108" t="s">
        <v>3</v>
      </c>
      <c r="AX153" s="108" t="s">
        <v>3</v>
      </c>
      <c r="AY153" s="109" t="s">
        <v>3</v>
      </c>
      <c r="AZ153" s="109" t="s">
        <v>3</v>
      </c>
      <c r="BA153" s="123" t="s">
        <v>3</v>
      </c>
    </row>
    <row r="154" spans="1:53" x14ac:dyDescent="0.25">
      <c r="A154" s="38">
        <v>151</v>
      </c>
      <c r="B154" s="139" t="s">
        <v>44</v>
      </c>
      <c r="C154" s="38" t="s">
        <v>139</v>
      </c>
      <c r="D154" s="38" t="s">
        <v>263</v>
      </c>
      <c r="E154" s="48">
        <v>249.02270300000001</v>
      </c>
      <c r="F154" s="102" t="s">
        <v>564</v>
      </c>
      <c r="G154" s="102" t="s">
        <v>564</v>
      </c>
      <c r="H154" s="102" t="s">
        <v>564</v>
      </c>
      <c r="I154" s="103" t="s">
        <v>3</v>
      </c>
      <c r="J154" s="103" t="s">
        <v>3</v>
      </c>
      <c r="K154" s="116">
        <f>249.0233-249.0227</f>
        <v>6.0000000001991793E-4</v>
      </c>
      <c r="L154" s="97" t="s">
        <v>3</v>
      </c>
      <c r="M154" s="97">
        <f>249.0222-249.0227</f>
        <v>-4.9999999998817657E-4</v>
      </c>
      <c r="N154" s="97">
        <f>249.0218-249.0227</f>
        <v>-8.9999999997303348E-4</v>
      </c>
      <c r="O154" s="97">
        <f>249.02209-249.0227</f>
        <v>-6.0999999999467036E-4</v>
      </c>
      <c r="P154" s="97">
        <f>249.02229-249.0227</f>
        <v>-4.0999999998803105E-4</v>
      </c>
      <c r="Q154" s="97">
        <f>249.0222-249.0227</f>
        <v>-4.9999999998817657E-4</v>
      </c>
      <c r="R154" s="97">
        <f>249.022-249.0227</f>
        <v>-6.9999999999481588E-4</v>
      </c>
      <c r="S154" s="97">
        <f>249.02209-249.0227</f>
        <v>-6.0999999999467036E-4</v>
      </c>
      <c r="T154" s="97">
        <f>249.02229-249.0227</f>
        <v>-4.0999999998803105E-4</v>
      </c>
      <c r="U154" s="97">
        <f>249.0222-249.0227</f>
        <v>-4.9999999998817657E-4</v>
      </c>
      <c r="V154" s="97">
        <f>249.02209-249.0227</f>
        <v>-6.0999999999467036E-4</v>
      </c>
      <c r="W154" s="101" t="s">
        <v>564</v>
      </c>
      <c r="X154" s="101" t="s">
        <v>564</v>
      </c>
      <c r="Y154" s="101" t="s">
        <v>564</v>
      </c>
      <c r="Z154" s="98">
        <f>249.022-249.0227</f>
        <v>-6.9999999999481588E-4</v>
      </c>
      <c r="AA154" s="99" t="s">
        <v>3</v>
      </c>
      <c r="AB154" s="99">
        <f>249.0228-249.0227</f>
        <v>1.0000000000331966E-4</v>
      </c>
      <c r="AC154" s="100" t="s">
        <v>3</v>
      </c>
      <c r="AD154" s="100" t="s">
        <v>3</v>
      </c>
      <c r="AE154" s="104">
        <f>249.02383-E154</f>
        <v>1.1269999999967695E-3</v>
      </c>
      <c r="AF154" s="104" t="s">
        <v>3</v>
      </c>
      <c r="AG154" s="104" t="s">
        <v>3</v>
      </c>
      <c r="AH154" s="104" t="s">
        <v>3</v>
      </c>
      <c r="AI154" s="105" t="s">
        <v>3</v>
      </c>
      <c r="AJ154" s="105" t="s">
        <v>564</v>
      </c>
      <c r="AK154" s="105" t="s">
        <v>3</v>
      </c>
      <c r="AL154" s="105" t="s">
        <v>3</v>
      </c>
      <c r="AM154" s="105" t="s">
        <v>564</v>
      </c>
      <c r="AN154" s="106" t="s">
        <v>564</v>
      </c>
      <c r="AO154" s="106" t="s">
        <v>564</v>
      </c>
      <c r="AP154" s="106" t="s">
        <v>564</v>
      </c>
      <c r="AQ154" s="106" t="s">
        <v>564</v>
      </c>
      <c r="AR154" s="106" t="s">
        <v>564</v>
      </c>
      <c r="AS154" s="107" t="s">
        <v>3</v>
      </c>
      <c r="AT154" s="107" t="s">
        <v>3</v>
      </c>
      <c r="AU154" s="107" t="s">
        <v>3</v>
      </c>
      <c r="AV154" s="107">
        <f>249.0204-E154</f>
        <v>-2.3030000000119344E-3</v>
      </c>
      <c r="AW154" s="108" t="s">
        <v>3</v>
      </c>
      <c r="AX154" s="108" t="s">
        <v>3</v>
      </c>
      <c r="AY154" s="109" t="s">
        <v>3</v>
      </c>
      <c r="AZ154" s="109" t="s">
        <v>3</v>
      </c>
      <c r="BA154" s="123" t="s">
        <v>3</v>
      </c>
    </row>
    <row r="155" spans="1:53" x14ac:dyDescent="0.25">
      <c r="A155" s="38">
        <v>152</v>
      </c>
      <c r="B155" s="139" t="s">
        <v>45</v>
      </c>
      <c r="C155" s="38" t="s">
        <v>139</v>
      </c>
      <c r="D155" s="38" t="s">
        <v>264</v>
      </c>
      <c r="E155" s="48">
        <v>309.18600400000003</v>
      </c>
      <c r="F155" s="102" t="s">
        <v>564</v>
      </c>
      <c r="G155" s="102" t="s">
        <v>564</v>
      </c>
      <c r="H155" s="102" t="s">
        <v>564</v>
      </c>
      <c r="I155" s="103" t="s">
        <v>3</v>
      </c>
      <c r="J155" s="103" t="s">
        <v>3</v>
      </c>
      <c r="K155" s="116" t="s">
        <v>3</v>
      </c>
      <c r="L155" s="97" t="s">
        <v>3</v>
      </c>
      <c r="M155" s="97" t="s">
        <v>3</v>
      </c>
      <c r="N155" s="97" t="s">
        <v>3</v>
      </c>
      <c r="O155" s="97" t="s">
        <v>3</v>
      </c>
      <c r="P155" s="97" t="s">
        <v>3</v>
      </c>
      <c r="Q155" s="97" t="s">
        <v>3</v>
      </c>
      <c r="R155" s="97" t="s">
        <v>3</v>
      </c>
      <c r="S155" s="97" t="s">
        <v>3</v>
      </c>
      <c r="T155" s="97" t="s">
        <v>3</v>
      </c>
      <c r="U155" s="97" t="s">
        <v>3</v>
      </c>
      <c r="V155" s="97" t="s">
        <v>3</v>
      </c>
      <c r="W155" s="101" t="s">
        <v>564</v>
      </c>
      <c r="X155" s="101" t="s">
        <v>564</v>
      </c>
      <c r="Y155" s="101" t="s">
        <v>564</v>
      </c>
      <c r="Z155" s="98" t="s">
        <v>3</v>
      </c>
      <c r="AA155" s="99" t="s">
        <v>3</v>
      </c>
      <c r="AB155" s="99" t="s">
        <v>3</v>
      </c>
      <c r="AC155" s="100" t="s">
        <v>3</v>
      </c>
      <c r="AD155" s="100" t="s">
        <v>3</v>
      </c>
      <c r="AE155" s="104" t="s">
        <v>3</v>
      </c>
      <c r="AF155" s="104" t="s">
        <v>3</v>
      </c>
      <c r="AG155" s="104" t="s">
        <v>3</v>
      </c>
      <c r="AH155" s="104" t="s">
        <v>3</v>
      </c>
      <c r="AI155" s="105" t="s">
        <v>3</v>
      </c>
      <c r="AJ155" s="105" t="s">
        <v>564</v>
      </c>
      <c r="AK155" s="105" t="s">
        <v>3</v>
      </c>
      <c r="AL155" s="105" t="s">
        <v>3</v>
      </c>
      <c r="AM155" s="105" t="s">
        <v>564</v>
      </c>
      <c r="AN155" s="106" t="s">
        <v>564</v>
      </c>
      <c r="AO155" s="106" t="s">
        <v>564</v>
      </c>
      <c r="AP155" s="106" t="s">
        <v>564</v>
      </c>
      <c r="AQ155" s="106" t="s">
        <v>564</v>
      </c>
      <c r="AR155" s="106" t="s">
        <v>564</v>
      </c>
      <c r="AS155" s="107" t="s">
        <v>3</v>
      </c>
      <c r="AT155" s="107" t="s">
        <v>3</v>
      </c>
      <c r="AU155" s="107" t="s">
        <v>3</v>
      </c>
      <c r="AV155" s="107" t="s">
        <v>3</v>
      </c>
      <c r="AW155" s="108" t="s">
        <v>3</v>
      </c>
      <c r="AX155" s="108" t="s">
        <v>3</v>
      </c>
      <c r="AY155" s="109" t="s">
        <v>3</v>
      </c>
      <c r="AZ155" s="109" t="s">
        <v>3</v>
      </c>
      <c r="BA155" s="123" t="s">
        <v>3</v>
      </c>
    </row>
    <row r="156" spans="1:53" x14ac:dyDescent="0.25">
      <c r="A156" s="38">
        <v>153</v>
      </c>
      <c r="B156" s="139" t="s">
        <v>46</v>
      </c>
      <c r="C156" s="38" t="s">
        <v>139</v>
      </c>
      <c r="D156" s="38" t="s">
        <v>265</v>
      </c>
      <c r="E156" s="48">
        <v>267.13905299999999</v>
      </c>
      <c r="F156" s="102" t="s">
        <v>564</v>
      </c>
      <c r="G156" s="102" t="s">
        <v>564</v>
      </c>
      <c r="H156" s="102" t="s">
        <v>564</v>
      </c>
      <c r="I156" s="103" t="s">
        <v>3</v>
      </c>
      <c r="J156" s="103" t="s">
        <v>3</v>
      </c>
      <c r="K156" s="116" t="s">
        <v>3</v>
      </c>
      <c r="L156" s="97" t="s">
        <v>3</v>
      </c>
      <c r="M156" s="97" t="s">
        <v>3</v>
      </c>
      <c r="N156" s="97" t="s">
        <v>3</v>
      </c>
      <c r="O156" s="97" t="s">
        <v>3</v>
      </c>
      <c r="P156" s="97" t="s">
        <v>3</v>
      </c>
      <c r="Q156" s="97" t="s">
        <v>3</v>
      </c>
      <c r="R156" s="97" t="s">
        <v>3</v>
      </c>
      <c r="S156" s="97" t="s">
        <v>3</v>
      </c>
      <c r="T156" s="97" t="s">
        <v>3</v>
      </c>
      <c r="U156" s="97" t="s">
        <v>3</v>
      </c>
      <c r="V156" s="97" t="s">
        <v>3</v>
      </c>
      <c r="W156" s="101" t="s">
        <v>564</v>
      </c>
      <c r="X156" s="101" t="s">
        <v>564</v>
      </c>
      <c r="Y156" s="101" t="s">
        <v>564</v>
      </c>
      <c r="Z156" s="98" t="s">
        <v>3</v>
      </c>
      <c r="AA156" s="99" t="s">
        <v>3</v>
      </c>
      <c r="AB156" s="99" t="s">
        <v>3</v>
      </c>
      <c r="AC156" s="100" t="s">
        <v>3</v>
      </c>
      <c r="AD156" s="100" t="s">
        <v>3</v>
      </c>
      <c r="AE156" s="104" t="s">
        <v>3</v>
      </c>
      <c r="AF156" s="104" t="s">
        <v>3</v>
      </c>
      <c r="AG156" s="104" t="s">
        <v>3</v>
      </c>
      <c r="AH156" s="104" t="s">
        <v>3</v>
      </c>
      <c r="AI156" s="105" t="s">
        <v>3</v>
      </c>
      <c r="AJ156" s="105" t="s">
        <v>564</v>
      </c>
      <c r="AK156" s="105" t="s">
        <v>3</v>
      </c>
      <c r="AL156" s="105" t="s">
        <v>3</v>
      </c>
      <c r="AM156" s="105" t="s">
        <v>564</v>
      </c>
      <c r="AN156" s="106" t="s">
        <v>564</v>
      </c>
      <c r="AO156" s="106" t="s">
        <v>564</v>
      </c>
      <c r="AP156" s="106" t="s">
        <v>564</v>
      </c>
      <c r="AQ156" s="106" t="s">
        <v>564</v>
      </c>
      <c r="AR156" s="106" t="s">
        <v>564</v>
      </c>
      <c r="AS156" s="107" t="s">
        <v>3</v>
      </c>
      <c r="AT156" s="107" t="s">
        <v>3</v>
      </c>
      <c r="AU156" s="107" t="s">
        <v>3</v>
      </c>
      <c r="AV156" s="107" t="s">
        <v>3</v>
      </c>
      <c r="AW156" s="108" t="s">
        <v>3</v>
      </c>
      <c r="AX156" s="108" t="s">
        <v>3</v>
      </c>
      <c r="AY156" s="109" t="s">
        <v>3</v>
      </c>
      <c r="AZ156" s="109" t="s">
        <v>3</v>
      </c>
      <c r="BA156" s="123" t="s">
        <v>3</v>
      </c>
    </row>
    <row r="157" spans="1:53" x14ac:dyDescent="0.25">
      <c r="A157" s="38">
        <v>154</v>
      </c>
      <c r="B157" s="139" t="s">
        <v>47</v>
      </c>
      <c r="C157" s="38" t="s">
        <v>139</v>
      </c>
      <c r="D157" s="38" t="s">
        <v>266</v>
      </c>
      <c r="E157" s="48">
        <v>542.74580200000003</v>
      </c>
      <c r="F157" s="102" t="s">
        <v>564</v>
      </c>
      <c r="G157" s="102" t="s">
        <v>564</v>
      </c>
      <c r="H157" s="102" t="s">
        <v>564</v>
      </c>
      <c r="I157" s="103" t="s">
        <v>3</v>
      </c>
      <c r="J157" s="103" t="s">
        <v>3</v>
      </c>
      <c r="K157" s="116" t="s">
        <v>3</v>
      </c>
      <c r="L157" s="97" t="s">
        <v>3</v>
      </c>
      <c r="M157" s="97" t="s">
        <v>3</v>
      </c>
      <c r="N157" s="97" t="s">
        <v>3</v>
      </c>
      <c r="O157" s="97" t="s">
        <v>3</v>
      </c>
      <c r="P157" s="97" t="s">
        <v>3</v>
      </c>
      <c r="Q157" s="97" t="s">
        <v>3</v>
      </c>
      <c r="R157" s="97" t="s">
        <v>3</v>
      </c>
      <c r="S157" s="97" t="s">
        <v>3</v>
      </c>
      <c r="T157" s="97" t="s">
        <v>3</v>
      </c>
      <c r="U157" s="97" t="s">
        <v>3</v>
      </c>
      <c r="V157" s="97" t="s">
        <v>3</v>
      </c>
      <c r="W157" s="101" t="s">
        <v>564</v>
      </c>
      <c r="X157" s="101" t="s">
        <v>564</v>
      </c>
      <c r="Y157" s="101" t="s">
        <v>564</v>
      </c>
      <c r="Z157" s="98" t="s">
        <v>3</v>
      </c>
      <c r="AA157" s="99" t="s">
        <v>3</v>
      </c>
      <c r="AB157" s="99" t="s">
        <v>3</v>
      </c>
      <c r="AC157" s="100" t="s">
        <v>3</v>
      </c>
      <c r="AD157" s="100" t="s">
        <v>3</v>
      </c>
      <c r="AE157" s="104" t="s">
        <v>3</v>
      </c>
      <c r="AF157" s="104" t="s">
        <v>3</v>
      </c>
      <c r="AG157" s="104" t="s">
        <v>3</v>
      </c>
      <c r="AH157" s="104" t="s">
        <v>3</v>
      </c>
      <c r="AI157" s="105" t="s">
        <v>3</v>
      </c>
      <c r="AJ157" s="105" t="s">
        <v>564</v>
      </c>
      <c r="AK157" s="105" t="s">
        <v>3</v>
      </c>
      <c r="AL157" s="105" t="s">
        <v>3</v>
      </c>
      <c r="AM157" s="105" t="s">
        <v>564</v>
      </c>
      <c r="AN157" s="106" t="s">
        <v>564</v>
      </c>
      <c r="AO157" s="106" t="s">
        <v>564</v>
      </c>
      <c r="AP157" s="106" t="s">
        <v>564</v>
      </c>
      <c r="AQ157" s="106" t="s">
        <v>564</v>
      </c>
      <c r="AR157" s="106" t="s">
        <v>564</v>
      </c>
      <c r="AS157" s="107" t="s">
        <v>3</v>
      </c>
      <c r="AT157" s="107" t="s">
        <v>3</v>
      </c>
      <c r="AU157" s="107" t="s">
        <v>3</v>
      </c>
      <c r="AV157" s="107" t="s">
        <v>3</v>
      </c>
      <c r="AW157" s="108" t="s">
        <v>3</v>
      </c>
      <c r="AX157" s="108" t="s">
        <v>3</v>
      </c>
      <c r="AY157" s="109" t="s">
        <v>3</v>
      </c>
      <c r="AZ157" s="109" t="s">
        <v>3</v>
      </c>
      <c r="BA157" s="123" t="s">
        <v>3</v>
      </c>
    </row>
    <row r="158" spans="1:53" x14ac:dyDescent="0.25">
      <c r="A158" s="38">
        <v>155</v>
      </c>
      <c r="B158" s="139" t="s">
        <v>48</v>
      </c>
      <c r="C158" s="38" t="s">
        <v>139</v>
      </c>
      <c r="D158" s="38" t="s">
        <v>267</v>
      </c>
      <c r="E158" s="48">
        <v>161.98665199999999</v>
      </c>
      <c r="F158" s="102" t="s">
        <v>564</v>
      </c>
      <c r="G158" s="102" t="s">
        <v>564</v>
      </c>
      <c r="H158" s="102" t="s">
        <v>564</v>
      </c>
      <c r="I158" s="103">
        <v>-5.81</v>
      </c>
      <c r="J158" s="103">
        <v>-5.81</v>
      </c>
      <c r="K158" s="116" t="s">
        <v>3</v>
      </c>
      <c r="L158" s="97" t="s">
        <v>3</v>
      </c>
      <c r="M158" s="97">
        <f>161.98599-161.9867</f>
        <v>-7.1000000002641173E-4</v>
      </c>
      <c r="N158" s="97">
        <f>161.9861-161.9867</f>
        <v>-6.0000000001991793E-4</v>
      </c>
      <c r="O158" s="97">
        <f>161.98621-161.9867</f>
        <v>-4.9000000001342414E-4</v>
      </c>
      <c r="P158" s="97">
        <f>161.98621-161.9867</f>
        <v>-4.9000000001342414E-4</v>
      </c>
      <c r="Q158" s="97">
        <f>161.98621-161.9867</f>
        <v>-4.9000000001342414E-4</v>
      </c>
      <c r="R158" s="97">
        <f>161.98621-161.9867</f>
        <v>-4.9000000001342414E-4</v>
      </c>
      <c r="S158" s="97">
        <f>161.98621-161.9867</f>
        <v>-4.9000000001342414E-4</v>
      </c>
      <c r="T158" s="97">
        <f>161.9863-161.9867</f>
        <v>-4.0000000001327862E-4</v>
      </c>
      <c r="U158" s="97">
        <f>161.98621-161.9867</f>
        <v>-4.9000000001342414E-4</v>
      </c>
      <c r="V158" s="97">
        <f>161.98621-161.9867</f>
        <v>-4.9000000001342414E-4</v>
      </c>
      <c r="W158" s="101" t="s">
        <v>564</v>
      </c>
      <c r="X158" s="101" t="s">
        <v>564</v>
      </c>
      <c r="Y158" s="101" t="s">
        <v>564</v>
      </c>
      <c r="Z158" s="98">
        <f>161.98621-161.9867</f>
        <v>-4.9000000001342414E-4</v>
      </c>
      <c r="AA158" s="99">
        <f>161.98669-161.9867</f>
        <v>-1.0000000003174137E-5</v>
      </c>
      <c r="AB158" s="99" t="s">
        <v>3</v>
      </c>
      <c r="AC158" s="100">
        <f>161.98669-161.9867</f>
        <v>-1.0000000003174137E-5</v>
      </c>
      <c r="AD158" s="100" t="s">
        <v>3</v>
      </c>
      <c r="AE158" s="104">
        <f>161.98619-E158</f>
        <v>-4.6199999999885222E-4</v>
      </c>
      <c r="AF158" s="104">
        <f>161.98633-E158</f>
        <v>-3.2199999998283602E-4</v>
      </c>
      <c r="AG158" s="104" t="s">
        <v>3</v>
      </c>
      <c r="AH158" s="104" t="s">
        <v>3</v>
      </c>
      <c r="AI158" s="105">
        <v>5.3000000000000001E-5</v>
      </c>
      <c r="AJ158" s="105" t="s">
        <v>564</v>
      </c>
      <c r="AK158" s="105">
        <v>-7.18E-4</v>
      </c>
      <c r="AL158" s="105">
        <v>-5.5099999999999995E-4</v>
      </c>
      <c r="AM158" s="105" t="s">
        <v>564</v>
      </c>
      <c r="AN158" s="106" t="s">
        <v>564</v>
      </c>
      <c r="AO158" s="106" t="s">
        <v>564</v>
      </c>
      <c r="AP158" s="106" t="s">
        <v>564</v>
      </c>
      <c r="AQ158" s="106" t="s">
        <v>564</v>
      </c>
      <c r="AR158" s="106" t="s">
        <v>564</v>
      </c>
      <c r="AS158" s="107">
        <f>161.98869-E158</f>
        <v>2.037999999998874E-3</v>
      </c>
      <c r="AT158" s="107">
        <f>161.9879-E158</f>
        <v>1.2480000000039126E-3</v>
      </c>
      <c r="AU158" s="107">
        <f>161.98689-E158</f>
        <v>2.3799999999596366E-4</v>
      </c>
      <c r="AV158" s="107">
        <f>161.9866-E158</f>
        <v>-5.1999999982399459E-5</v>
      </c>
      <c r="AW158" s="108">
        <v>3.2300000000873297E-4</v>
      </c>
      <c r="AX158" s="108" t="s">
        <v>3</v>
      </c>
      <c r="AY158" s="109" t="s">
        <v>3</v>
      </c>
      <c r="AZ158" s="109" t="s">
        <v>3</v>
      </c>
      <c r="BA158" s="123" t="s">
        <v>3</v>
      </c>
    </row>
    <row r="159" spans="1:53" x14ac:dyDescent="0.25">
      <c r="A159" s="38">
        <v>156</v>
      </c>
      <c r="B159" s="139" t="s">
        <v>50</v>
      </c>
      <c r="C159" s="38" t="s">
        <v>139</v>
      </c>
      <c r="D159" s="38" t="s">
        <v>268</v>
      </c>
      <c r="E159" s="48">
        <v>395.007274</v>
      </c>
      <c r="F159" s="102" t="s">
        <v>564</v>
      </c>
      <c r="G159" s="102" t="s">
        <v>564</v>
      </c>
      <c r="H159" s="102" t="s">
        <v>564</v>
      </c>
      <c r="I159" s="103" t="s">
        <v>3</v>
      </c>
      <c r="J159" s="103" t="s">
        <v>3</v>
      </c>
      <c r="K159" s="116">
        <f>395.0072-395.0073</f>
        <v>-9.9999999974897946E-5</v>
      </c>
      <c r="L159" s="97" t="s">
        <v>3</v>
      </c>
      <c r="M159" s="97">
        <f>395.00629-395.00727</f>
        <v>-9.8000000002684828E-4</v>
      </c>
      <c r="N159" s="97">
        <f>395.00589-395.00727</f>
        <v>-1.3799999999832835E-3</v>
      </c>
      <c r="O159" s="97">
        <f>395.00641-395.00727</f>
        <v>-8.5999999998875865E-4</v>
      </c>
      <c r="P159" s="97">
        <f>395.00641-395.00727</f>
        <v>-8.5999999998875865E-4</v>
      </c>
      <c r="Q159" s="97">
        <f>395.00641-395.00727</f>
        <v>-8.5999999998875865E-4</v>
      </c>
      <c r="R159" s="97">
        <f>395.00601-395.00727</f>
        <v>-1.2600000000020373E-3</v>
      </c>
      <c r="S159" s="97">
        <f>395.0061-395.00727</f>
        <v>-1.1700000000018917E-3</v>
      </c>
      <c r="T159" s="97">
        <f>395.00641-395.00727</f>
        <v>-8.5999999998875865E-4</v>
      </c>
      <c r="U159" s="97">
        <f>395.0062-395.00727</f>
        <v>-1.0700000000269938E-3</v>
      </c>
      <c r="V159" s="97">
        <f>395.0065-395.00727</f>
        <v>-7.6999999998861313E-4</v>
      </c>
      <c r="W159" s="101" t="s">
        <v>564</v>
      </c>
      <c r="X159" s="101" t="s">
        <v>564</v>
      </c>
      <c r="Y159" s="101" t="s">
        <v>564</v>
      </c>
      <c r="Z159" s="98">
        <f>395.00571-395.00727</f>
        <v>-1.5599999999835745E-3</v>
      </c>
      <c r="AA159" s="99">
        <f>395.00739-395.00727</f>
        <v>1.1999999998124622E-4</v>
      </c>
      <c r="AB159" s="99" t="s">
        <v>3</v>
      </c>
      <c r="AC159" s="100">
        <f>395.0072-395.00727</f>
        <v>-6.9999999993797246E-5</v>
      </c>
      <c r="AD159" s="100" t="s">
        <v>3</v>
      </c>
      <c r="AE159" s="104">
        <f>395.00697-E159</f>
        <v>-3.0399999997143823E-4</v>
      </c>
      <c r="AF159" s="104">
        <f>395.00721-E159</f>
        <v>-6.400000000894579E-5</v>
      </c>
      <c r="AG159" s="104" t="s">
        <v>3</v>
      </c>
      <c r="AH159" s="104" t="s">
        <v>3</v>
      </c>
      <c r="AI159" s="105">
        <v>-1.8649999999999999E-3</v>
      </c>
      <c r="AJ159" s="105" t="s">
        <v>564</v>
      </c>
      <c r="AK159" s="105">
        <v>-8.1999999999999998E-4</v>
      </c>
      <c r="AL159" s="105">
        <v>-1.37E-4</v>
      </c>
      <c r="AM159" s="105" t="s">
        <v>564</v>
      </c>
      <c r="AN159" s="106" t="s">
        <v>564</v>
      </c>
      <c r="AO159" s="106" t="s">
        <v>564</v>
      </c>
      <c r="AP159" s="106" t="s">
        <v>564</v>
      </c>
      <c r="AQ159" s="106" t="s">
        <v>564</v>
      </c>
      <c r="AR159" s="106" t="s">
        <v>564</v>
      </c>
      <c r="AS159" s="107" t="s">
        <v>3</v>
      </c>
      <c r="AT159" s="107" t="s">
        <v>3</v>
      </c>
      <c r="AU159" s="107" t="s">
        <v>3</v>
      </c>
      <c r="AV159" s="107" t="s">
        <v>3</v>
      </c>
      <c r="AW159" s="108" t="s">
        <v>3</v>
      </c>
      <c r="AX159" s="108" t="s">
        <v>3</v>
      </c>
      <c r="AY159" s="109" t="s">
        <v>3</v>
      </c>
      <c r="AZ159" s="109">
        <v>1.5309999999999491E-3</v>
      </c>
      <c r="BA159" s="123">
        <v>-6.1399999998457133E-4</v>
      </c>
    </row>
    <row r="160" spans="1:53" x14ac:dyDescent="0.25">
      <c r="AW160" s="54"/>
      <c r="AX160" s="54"/>
      <c r="AY160" s="58"/>
      <c r="AZ160" s="58"/>
      <c r="BA160" s="122"/>
    </row>
  </sheetData>
  <sortState xmlns:xlrd2="http://schemas.microsoft.com/office/spreadsheetml/2017/richdata2" ref="A4:BA172">
    <sortCondition ref="A1"/>
  </sortState>
  <conditionalFormatting sqref="Z8:Z38 Z66:Z72 Z76:Z88 Z106 Z110:Z111 Z114:Z140 Z90:Z103 Z142:Z143 Z149 Z4:Z5 Z158 Z151:Z152 Z154">
    <cfRule type="cellIs" dxfId="229" priority="15" operator="greaterThan">
      <formula>5</formula>
    </cfRule>
  </conditionalFormatting>
  <conditionalFormatting sqref="Z105">
    <cfRule type="cellIs" dxfId="228" priority="14" operator="greaterThan">
      <formula>5</formula>
    </cfRule>
  </conditionalFormatting>
  <conditionalFormatting sqref="Z109">
    <cfRule type="cellIs" dxfId="227" priority="13" operator="greaterThan">
      <formula>5</formula>
    </cfRule>
  </conditionalFormatting>
  <conditionalFormatting sqref="Z144">
    <cfRule type="cellIs" dxfId="226" priority="12" operator="greaterThan">
      <formula>5</formula>
    </cfRule>
  </conditionalFormatting>
  <conditionalFormatting sqref="L147:V147 Z147">
    <cfRule type="cellIs" dxfId="225" priority="11" operator="greaterThan">
      <formula>5</formula>
    </cfRule>
  </conditionalFormatting>
  <conditionalFormatting sqref="L3:V3 Z3">
    <cfRule type="cellIs" dxfId="224" priority="10" operator="greaterThan">
      <formula>5</formula>
    </cfRule>
  </conditionalFormatting>
  <conditionalFormatting sqref="L2:V2 Z2">
    <cfRule type="cellIs" dxfId="223" priority="9" operator="greaterThan">
      <formula>5</formula>
    </cfRule>
  </conditionalFormatting>
  <conditionalFormatting sqref="L157:V157 Z157">
    <cfRule type="cellIs" dxfId="222" priority="8" operator="greaterThan">
      <formula>5</formula>
    </cfRule>
  </conditionalFormatting>
  <conditionalFormatting sqref="L156:V156 Z156">
    <cfRule type="cellIs" dxfId="221" priority="7" operator="greaterThan">
      <formula>5</formula>
    </cfRule>
  </conditionalFormatting>
  <conditionalFormatting sqref="L150:V150 Z150">
    <cfRule type="cellIs" dxfId="220" priority="6" operator="greaterThan">
      <formula>5</formula>
    </cfRule>
  </conditionalFormatting>
  <conditionalFormatting sqref="Z153">
    <cfRule type="cellIs" dxfId="219" priority="5" operator="greaterThan">
      <formula>5</formula>
    </cfRule>
  </conditionalFormatting>
  <pageMargins left="0.7" right="0.7" top="0.75" bottom="0.75" header="0.3" footer="0.3"/>
  <pageSetup orientation="portrait" r:id="rId1"/>
  <ignoredErrors>
    <ignoredError sqref="N42 O44 N46 P38 O64:O65 N63:N76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60"/>
  <sheetViews>
    <sheetView zoomScaleNormal="100" zoomScalePageLayoutView="8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baseColWidth="10" defaultColWidth="9.140625" defaultRowHeight="15" x14ac:dyDescent="0.25"/>
  <cols>
    <col min="1" max="1" width="12.140625" style="38" hidden="1" customWidth="1"/>
    <col min="2" max="2" width="31.7109375" style="139" bestFit="1" customWidth="1"/>
    <col min="3" max="3" width="9.7109375" style="38" hidden="1" customWidth="1"/>
    <col min="4" max="4" width="14.140625" style="38" hidden="1" customWidth="1"/>
    <col min="5" max="5" width="14.140625" style="48" hidden="1" customWidth="1"/>
    <col min="6" max="8" width="25.140625" style="12" customWidth="1"/>
    <col min="9" max="9" width="25.140625" style="11" customWidth="1"/>
    <col min="10" max="10" width="25.140625" style="10" customWidth="1"/>
    <col min="11" max="11" width="25.140625" style="114" customWidth="1"/>
    <col min="12" max="12" width="33" style="4" customWidth="1"/>
    <col min="13" max="19" width="34.140625" style="4" customWidth="1"/>
    <col min="20" max="22" width="35.140625" style="4" customWidth="1"/>
    <col min="23" max="25" width="25.140625" style="14" customWidth="1"/>
    <col min="26" max="26" width="25.140625" style="39" customWidth="1"/>
    <col min="27" max="27" width="36.140625" style="7" customWidth="1"/>
    <col min="28" max="28" width="34.42578125" style="7" customWidth="1"/>
    <col min="29" max="29" width="27.85546875" style="9" customWidth="1"/>
    <col min="30" max="30" width="34" style="9" customWidth="1"/>
    <col min="31" max="33" width="25.140625" style="3" customWidth="1"/>
    <col min="34" max="34" width="33.5703125" style="3" customWidth="1"/>
    <col min="35" max="35" width="25.140625" style="1" customWidth="1"/>
    <col min="36" max="36" width="31.85546875" style="1" customWidth="1"/>
    <col min="37" max="37" width="32" style="1" customWidth="1"/>
    <col min="38" max="39" width="25.140625" style="1" customWidth="1"/>
    <col min="40" max="42" width="19.28515625" style="65" customWidth="1"/>
    <col min="43" max="43" width="20.140625" style="65" customWidth="1"/>
    <col min="44" max="44" width="19.28515625" style="65" customWidth="1"/>
    <col min="45" max="48" width="25.140625" style="42" customWidth="1"/>
    <col min="49" max="49" width="20.140625" style="53" customWidth="1"/>
    <col min="50" max="50" width="20.42578125" style="53" customWidth="1"/>
    <col min="51" max="51" width="29.85546875" style="57" customWidth="1"/>
    <col min="52" max="52" width="30" style="57" customWidth="1"/>
    <col min="53" max="53" width="27" style="121" customWidth="1"/>
    <col min="54" max="16384" width="9.140625" style="38"/>
  </cols>
  <sheetData>
    <row r="1" spans="1:53" ht="30" x14ac:dyDescent="0.25">
      <c r="A1" s="38" t="s">
        <v>688</v>
      </c>
      <c r="B1" s="49" t="s">
        <v>125</v>
      </c>
      <c r="C1" s="31" t="s">
        <v>299</v>
      </c>
      <c r="D1" s="31" t="s">
        <v>143</v>
      </c>
      <c r="E1" s="31" t="s">
        <v>274</v>
      </c>
      <c r="F1" s="47" t="s">
        <v>277</v>
      </c>
      <c r="G1" s="47" t="s">
        <v>645</v>
      </c>
      <c r="H1" s="47" t="s">
        <v>278</v>
      </c>
      <c r="I1" s="44" t="s">
        <v>280</v>
      </c>
      <c r="J1" s="44" t="s">
        <v>281</v>
      </c>
      <c r="K1" s="112" t="s">
        <v>282</v>
      </c>
      <c r="L1" s="32" t="s">
        <v>283</v>
      </c>
      <c r="M1" s="32" t="s">
        <v>1248</v>
      </c>
      <c r="N1" s="32" t="s">
        <v>1249</v>
      </c>
      <c r="O1" s="32" t="s">
        <v>1250</v>
      </c>
      <c r="P1" s="32" t="s">
        <v>1251</v>
      </c>
      <c r="Q1" s="32" t="s">
        <v>1252</v>
      </c>
      <c r="R1" s="32" t="s">
        <v>1253</v>
      </c>
      <c r="S1" s="32" t="s">
        <v>1254</v>
      </c>
      <c r="T1" s="32" t="s">
        <v>1255</v>
      </c>
      <c r="U1" s="32" t="s">
        <v>1256</v>
      </c>
      <c r="V1" s="32" t="s">
        <v>1257</v>
      </c>
      <c r="W1" s="43" t="s">
        <v>290</v>
      </c>
      <c r="X1" s="43" t="s">
        <v>291</v>
      </c>
      <c r="Y1" s="43" t="s">
        <v>292</v>
      </c>
      <c r="Z1" s="34" t="s">
        <v>284</v>
      </c>
      <c r="AA1" s="33" t="s">
        <v>286</v>
      </c>
      <c r="AB1" s="33" t="s">
        <v>287</v>
      </c>
      <c r="AC1" s="35" t="s">
        <v>288</v>
      </c>
      <c r="AD1" s="35" t="s">
        <v>289</v>
      </c>
      <c r="AE1" s="36" t="s">
        <v>126</v>
      </c>
      <c r="AF1" s="36" t="s">
        <v>130</v>
      </c>
      <c r="AG1" s="36" t="s">
        <v>127</v>
      </c>
      <c r="AH1" s="36" t="s">
        <v>128</v>
      </c>
      <c r="AI1" s="37" t="s">
        <v>133</v>
      </c>
      <c r="AJ1" s="37" t="s">
        <v>134</v>
      </c>
      <c r="AK1" s="37" t="s">
        <v>135</v>
      </c>
      <c r="AL1" s="37" t="s">
        <v>132</v>
      </c>
      <c r="AM1" s="37" t="s">
        <v>279</v>
      </c>
      <c r="AN1" s="65" t="s">
        <v>606</v>
      </c>
      <c r="AO1" s="65" t="s">
        <v>605</v>
      </c>
      <c r="AP1" s="65" t="s">
        <v>604</v>
      </c>
      <c r="AQ1" s="65" t="s">
        <v>603</v>
      </c>
      <c r="AR1" s="65" t="s">
        <v>602</v>
      </c>
      <c r="AS1" s="41" t="s">
        <v>297</v>
      </c>
      <c r="AT1" s="41" t="s">
        <v>295</v>
      </c>
      <c r="AU1" s="41" t="s">
        <v>298</v>
      </c>
      <c r="AV1" s="41" t="s">
        <v>296</v>
      </c>
      <c r="AW1" s="53" t="s">
        <v>567</v>
      </c>
      <c r="AX1" s="53" t="s">
        <v>568</v>
      </c>
      <c r="AY1" s="57" t="s">
        <v>569</v>
      </c>
      <c r="AZ1" s="57" t="s">
        <v>570</v>
      </c>
      <c r="BA1" s="121" t="s">
        <v>571</v>
      </c>
    </row>
    <row r="2" spans="1:53" ht="45" hidden="1" x14ac:dyDescent="0.25">
      <c r="A2" s="31" t="s">
        <v>430</v>
      </c>
      <c r="B2" s="49" t="s">
        <v>269</v>
      </c>
      <c r="C2" s="31" t="s">
        <v>269</v>
      </c>
      <c r="D2" s="31" t="s">
        <v>269</v>
      </c>
      <c r="E2" s="31" t="s">
        <v>269</v>
      </c>
      <c r="F2" s="47" t="s">
        <v>427</v>
      </c>
      <c r="G2" s="47" t="s">
        <v>427</v>
      </c>
      <c r="H2" s="47" t="s">
        <v>427</v>
      </c>
      <c r="I2" s="45" t="s">
        <v>425</v>
      </c>
      <c r="J2" s="45" t="s">
        <v>425</v>
      </c>
      <c r="K2" s="113" t="s">
        <v>426</v>
      </c>
      <c r="L2" s="32" t="s">
        <v>270</v>
      </c>
      <c r="M2" s="32" t="s">
        <v>270</v>
      </c>
      <c r="N2" s="32" t="s">
        <v>270</v>
      </c>
      <c r="O2" s="32" t="s">
        <v>270</v>
      </c>
      <c r="P2" s="32" t="s">
        <v>270</v>
      </c>
      <c r="Q2" s="32" t="s">
        <v>270</v>
      </c>
      <c r="R2" s="32" t="s">
        <v>270</v>
      </c>
      <c r="S2" s="32" t="s">
        <v>270</v>
      </c>
      <c r="T2" s="32" t="s">
        <v>270</v>
      </c>
      <c r="U2" s="32" t="s">
        <v>270</v>
      </c>
      <c r="V2" s="32" t="s">
        <v>270</v>
      </c>
      <c r="W2" s="43" t="s">
        <v>285</v>
      </c>
      <c r="X2" s="43" t="s">
        <v>285</v>
      </c>
      <c r="Y2" s="43" t="s">
        <v>285</v>
      </c>
      <c r="Z2" s="34" t="s">
        <v>270</v>
      </c>
      <c r="AA2" s="33" t="s">
        <v>285</v>
      </c>
      <c r="AB2" s="33" t="s">
        <v>285</v>
      </c>
      <c r="AC2" s="35" t="s">
        <v>285</v>
      </c>
      <c r="AD2" s="35" t="s">
        <v>285</v>
      </c>
      <c r="AE2" s="36" t="s">
        <v>428</v>
      </c>
      <c r="AF2" s="36" t="s">
        <v>428</v>
      </c>
      <c r="AG2" s="36" t="s">
        <v>428</v>
      </c>
      <c r="AH2" s="36" t="s">
        <v>428</v>
      </c>
      <c r="AI2" s="37" t="s">
        <v>141</v>
      </c>
      <c r="AJ2" s="37" t="s">
        <v>141</v>
      </c>
      <c r="AK2" s="37" t="s">
        <v>141</v>
      </c>
      <c r="AL2" s="37" t="s">
        <v>141</v>
      </c>
      <c r="AM2" s="37" t="s">
        <v>141</v>
      </c>
      <c r="AN2" s="65" t="s">
        <v>601</v>
      </c>
      <c r="AO2" s="65" t="s">
        <v>601</v>
      </c>
      <c r="AP2" s="65" t="s">
        <v>601</v>
      </c>
      <c r="AQ2" s="65" t="s">
        <v>601</v>
      </c>
      <c r="AR2" s="65" t="s">
        <v>601</v>
      </c>
      <c r="AS2" s="41" t="s">
        <v>429</v>
      </c>
      <c r="AT2" s="41" t="s">
        <v>429</v>
      </c>
      <c r="AU2" s="41" t="s">
        <v>429</v>
      </c>
      <c r="AV2" s="41" t="s">
        <v>429</v>
      </c>
      <c r="AW2" s="54" t="s">
        <v>572</v>
      </c>
      <c r="AX2" s="54" t="s">
        <v>572</v>
      </c>
      <c r="AY2" s="58" t="s">
        <v>572</v>
      </c>
      <c r="AZ2" s="58" t="s">
        <v>572</v>
      </c>
      <c r="BA2" s="122" t="s">
        <v>572</v>
      </c>
    </row>
    <row r="3" spans="1:53" ht="105" hidden="1" x14ac:dyDescent="0.25">
      <c r="A3" s="31" t="s">
        <v>300</v>
      </c>
      <c r="B3" s="49" t="s">
        <v>269</v>
      </c>
      <c r="C3" s="31" t="s">
        <v>269</v>
      </c>
      <c r="D3" s="31" t="s">
        <v>269</v>
      </c>
      <c r="E3" s="31" t="s">
        <v>269</v>
      </c>
      <c r="F3" s="47" t="s">
        <v>417</v>
      </c>
      <c r="G3" s="47" t="s">
        <v>418</v>
      </c>
      <c r="H3" s="47" t="s">
        <v>419</v>
      </c>
      <c r="I3" s="45" t="s">
        <v>420</v>
      </c>
      <c r="J3" s="45" t="s">
        <v>421</v>
      </c>
      <c r="K3" s="113" t="s">
        <v>422</v>
      </c>
      <c r="L3" s="32" t="s">
        <v>389</v>
      </c>
      <c r="M3" s="32" t="s">
        <v>390</v>
      </c>
      <c r="N3" s="32" t="s">
        <v>391</v>
      </c>
      <c r="O3" s="32" t="s">
        <v>392</v>
      </c>
      <c r="P3" s="32" t="s">
        <v>393</v>
      </c>
      <c r="Q3" s="32" t="s">
        <v>394</v>
      </c>
      <c r="R3" s="32" t="s">
        <v>395</v>
      </c>
      <c r="S3" s="32" t="s">
        <v>396</v>
      </c>
      <c r="T3" s="32" t="s">
        <v>397</v>
      </c>
      <c r="U3" s="32" t="s">
        <v>398</v>
      </c>
      <c r="V3" s="32" t="s">
        <v>399</v>
      </c>
      <c r="W3" s="43" t="s">
        <v>406</v>
      </c>
      <c r="X3" s="43" t="s">
        <v>407</v>
      </c>
      <c r="Y3" s="43" t="s">
        <v>405</v>
      </c>
      <c r="Z3" s="34" t="s">
        <v>400</v>
      </c>
      <c r="AA3" s="33" t="s">
        <v>401</v>
      </c>
      <c r="AB3" s="33" t="s">
        <v>402</v>
      </c>
      <c r="AC3" s="35" t="s">
        <v>404</v>
      </c>
      <c r="AD3" s="35" t="s">
        <v>403</v>
      </c>
      <c r="AE3" s="36" t="s">
        <v>408</v>
      </c>
      <c r="AF3" s="36" t="s">
        <v>409</v>
      </c>
      <c r="AG3" s="36" t="s">
        <v>411</v>
      </c>
      <c r="AH3" s="36" t="s">
        <v>410</v>
      </c>
      <c r="AI3" s="37" t="s">
        <v>415</v>
      </c>
      <c r="AJ3" s="37" t="s">
        <v>413</v>
      </c>
      <c r="AK3" s="37" t="s">
        <v>414</v>
      </c>
      <c r="AL3" s="37" t="s">
        <v>412</v>
      </c>
      <c r="AM3" s="37" t="s">
        <v>416</v>
      </c>
      <c r="AN3" s="65" t="s">
        <v>611</v>
      </c>
      <c r="AO3" s="65" t="s">
        <v>608</v>
      </c>
      <c r="AP3" s="65" t="s">
        <v>610</v>
      </c>
      <c r="AQ3" s="65" t="s">
        <v>607</v>
      </c>
      <c r="AR3" s="65" t="s">
        <v>609</v>
      </c>
      <c r="AS3" s="41" t="s">
        <v>431</v>
      </c>
      <c r="AT3" s="41" t="s">
        <v>423</v>
      </c>
      <c r="AU3" s="41" t="s">
        <v>432</v>
      </c>
      <c r="AV3" s="41" t="s">
        <v>424</v>
      </c>
      <c r="AW3" s="54" t="s">
        <v>573</v>
      </c>
      <c r="AX3" s="54" t="s">
        <v>574</v>
      </c>
      <c r="AY3" s="58" t="s">
        <v>575</v>
      </c>
      <c r="AZ3" s="58" t="s">
        <v>576</v>
      </c>
      <c r="BA3" s="122" t="s">
        <v>577</v>
      </c>
    </row>
    <row r="4" spans="1:53" x14ac:dyDescent="0.25">
      <c r="A4" s="38">
        <v>1</v>
      </c>
      <c r="B4" s="139" t="s">
        <v>56</v>
      </c>
      <c r="C4" s="38" t="s">
        <v>138</v>
      </c>
      <c r="D4" s="38" t="s">
        <v>144</v>
      </c>
      <c r="E4" s="48">
        <v>275.25807099999997</v>
      </c>
      <c r="F4" s="23" t="s">
        <v>3</v>
      </c>
      <c r="G4" s="23" t="s">
        <v>3</v>
      </c>
      <c r="H4" s="23" t="s">
        <v>3</v>
      </c>
      <c r="I4" s="24">
        <v>-1.73</v>
      </c>
      <c r="J4" s="24">
        <v>-0.81</v>
      </c>
      <c r="K4" s="117" t="s">
        <v>3</v>
      </c>
      <c r="L4" s="15">
        <f>(275.25769-E4)/275.25769*10^6</f>
        <v>-1.3841575141735809</v>
      </c>
      <c r="M4" s="15">
        <f>(275.25839-275.25807)/E4*10^6</f>
        <v>1.162545384708189</v>
      </c>
      <c r="N4" s="15">
        <f>(275.2583-275.25807)/E4*10^6</f>
        <v>0.83557949530418474</v>
      </c>
      <c r="O4" s="15">
        <f>(275.25809-275.25807)/E4*10^6</f>
        <v>7.2659086557168656E-2</v>
      </c>
      <c r="P4" s="15">
        <f>(275.25839-275.25807)/E4*10^6</f>
        <v>1.162545384708189</v>
      </c>
      <c r="Q4" s="16">
        <f>(275.2587-E4)/E4*10^6</f>
        <v>2.2851282715104961</v>
      </c>
      <c r="R4" s="15">
        <f>(275.25839-E4)/275.25839*10^6</f>
        <v>1.158911087314191</v>
      </c>
      <c r="S4" s="16" t="s">
        <v>3</v>
      </c>
      <c r="T4" s="15">
        <f>(275.2583-E4)/E4*10^6</f>
        <v>0.83194654098665177</v>
      </c>
      <c r="U4" s="15" t="s">
        <v>3</v>
      </c>
      <c r="V4" s="15" t="s">
        <v>3</v>
      </c>
      <c r="W4" s="20">
        <f>(275.25809-E4)/E4*10^6</f>
        <v>6.902613223963569E-2</v>
      </c>
      <c r="X4" s="20">
        <f>(275.25809-E4)/E4*10^6</f>
        <v>6.902613223963569E-2</v>
      </c>
      <c r="Y4" s="20">
        <f>(275.25821-E4)/E4*10^6</f>
        <v>0.5049806515826476</v>
      </c>
      <c r="Z4" s="17">
        <f>(275.25879-E4)/275.25879*10^6</f>
        <v>2.6120873378964173</v>
      </c>
      <c r="AA4" s="18" t="s">
        <v>3</v>
      </c>
      <c r="AB4" s="18" t="s">
        <v>3</v>
      </c>
      <c r="AC4" s="19">
        <f>(275.2579-E4)/275.2579*10^6</f>
        <v>-0.62123557567710297</v>
      </c>
      <c r="AD4" s="19">
        <f>(275.25809-E4)/E4*10^6</f>
        <v>6.902613223963569E-2</v>
      </c>
      <c r="AE4" s="21">
        <f>(275.25764-275.2581)/275.25764*10^6</f>
        <v>-1.6711616071122439</v>
      </c>
      <c r="AF4" s="21">
        <f>(275.25869-E4)/E4*10^6</f>
        <v>2.2487987283351667</v>
      </c>
      <c r="AG4" s="21">
        <f>(275.25751-E4)/275.25751*10^6</f>
        <v>-2.0380915309008394</v>
      </c>
      <c r="AH4" s="21">
        <f>(275.259-E4)/E4*10^6</f>
        <v>3.3750145696615164</v>
      </c>
      <c r="AI4" s="22">
        <v>1.23</v>
      </c>
      <c r="AJ4" s="22">
        <v>2.6</v>
      </c>
      <c r="AK4" s="22">
        <v>2.04</v>
      </c>
      <c r="AL4" s="22">
        <v>1.65</v>
      </c>
      <c r="AM4" s="22">
        <v>0.99</v>
      </c>
      <c r="AN4" s="65" t="s">
        <v>3</v>
      </c>
      <c r="AO4" s="65" t="s">
        <v>3</v>
      </c>
      <c r="AP4" s="65" t="s">
        <v>3</v>
      </c>
      <c r="AQ4" s="65" t="s">
        <v>3</v>
      </c>
      <c r="AR4" s="65" t="s">
        <v>3</v>
      </c>
      <c r="AS4" s="46">
        <f>(275.25681-275.2581)/275.25681*10^6</f>
        <v>-4.6865325513289982</v>
      </c>
      <c r="AT4" s="46">
        <f>(275.25809-275.2581)/275.25809*10^6</f>
        <v>-3.6329540874151411E-2</v>
      </c>
      <c r="AU4" s="46">
        <f>(275.258-275.2581)/275.258*10^6</f>
        <v>-0.36329552649420316</v>
      </c>
      <c r="AV4" s="46">
        <f>(275.258-275.2581)/275.2554*10^6</f>
        <v>-0.36329895810124474</v>
      </c>
      <c r="AW4" s="53" t="s">
        <v>3</v>
      </c>
      <c r="AX4" s="53" t="s">
        <v>3</v>
      </c>
      <c r="AY4" s="57" t="s">
        <v>3</v>
      </c>
      <c r="AZ4" s="57" t="s">
        <v>3</v>
      </c>
      <c r="BA4" s="121" t="s">
        <v>3</v>
      </c>
    </row>
    <row r="5" spans="1:53" ht="15.75" customHeight="1" x14ac:dyDescent="0.25">
      <c r="A5" s="38">
        <v>2</v>
      </c>
      <c r="B5" s="139" t="s">
        <v>57</v>
      </c>
      <c r="C5" s="38" t="s">
        <v>138</v>
      </c>
      <c r="D5" s="38" t="s">
        <v>145</v>
      </c>
      <c r="E5" s="48">
        <v>336.310835</v>
      </c>
      <c r="F5" s="23" t="s">
        <v>3</v>
      </c>
      <c r="G5" s="23" t="s">
        <v>3</v>
      </c>
      <c r="H5" s="23" t="s">
        <v>3</v>
      </c>
      <c r="I5" s="24">
        <v>-1.63</v>
      </c>
      <c r="J5" s="24">
        <v>0.38</v>
      </c>
      <c r="K5" s="117" t="s">
        <v>3</v>
      </c>
      <c r="L5" s="16">
        <f>(336.31049-E5)/336.31049*10^6</f>
        <v>-1.0258377607597373</v>
      </c>
      <c r="M5" s="15">
        <f>(336.3111-336.31084)/E5*10^6</f>
        <v>0.77309433109903858</v>
      </c>
      <c r="N5" s="15">
        <f>(336.31091-336.31084)/E5*10^6</f>
        <v>0.20814078141073641</v>
      </c>
      <c r="O5" s="15">
        <f>(336.31091-336.31084)/E5*10^6</f>
        <v>0.20814078141073641</v>
      </c>
      <c r="P5" s="16">
        <f>(336.31091-E5)/E5*10^6</f>
        <v>0.22300798004671321</v>
      </c>
      <c r="Q5" s="16">
        <f>(336.31161-E5)/E5*10^6</f>
        <v>2.3044157943230981</v>
      </c>
      <c r="R5" s="15">
        <f>(336.311-E5)/E5*10^6</f>
        <v>0.49061755617037722</v>
      </c>
      <c r="S5" s="15">
        <f>(336.31021-E5)/336.31021*10^6</f>
        <v>-1.8584032878860337</v>
      </c>
      <c r="T5" s="15">
        <f>(336.311-E5)/E5*10^6</f>
        <v>0.49061755617037722</v>
      </c>
      <c r="U5" s="15" t="s">
        <v>3</v>
      </c>
      <c r="V5" s="15">
        <f>(336.31091-E5)/E5*10^6</f>
        <v>0.22300798004671321</v>
      </c>
      <c r="W5" s="20">
        <f>(336.31079-E5)/336.31079*10^6</f>
        <v>-0.13380480596555575</v>
      </c>
      <c r="X5" s="20">
        <f>(336.310651-E5)/336.310651*10^6</f>
        <v>-0.54711321048881079</v>
      </c>
      <c r="Y5" s="20">
        <f>(336.31091-E5)/E5*10^6</f>
        <v>0.22300798004671321</v>
      </c>
      <c r="Z5" s="17">
        <f>(336.31161-E5)/336.31161*10^6</f>
        <v>2.3044104840031823</v>
      </c>
      <c r="AA5" s="18" t="s">
        <v>3</v>
      </c>
      <c r="AB5" s="18" t="s">
        <v>3</v>
      </c>
      <c r="AC5" s="19">
        <f>(336.31049-E5)/336.31049*10^6</f>
        <v>-1.0258377607597373</v>
      </c>
      <c r="AD5" s="19">
        <f>(336.3107-E5)/336.3107*10^6</f>
        <v>-0.40141452531905253</v>
      </c>
      <c r="AE5" s="21">
        <f>(336.31106-E5)/E5*10^6</f>
        <v>0.66902394030916013</v>
      </c>
      <c r="AF5" s="21">
        <f>(336.31316-E5)/E5*10^6</f>
        <v>6.9132473831383141</v>
      </c>
      <c r="AG5" s="21">
        <f>(336.31091-E5)/E5*10^6</f>
        <v>0.22300798004671321</v>
      </c>
      <c r="AH5" s="21">
        <f>(336.31237-E5)/E5*10^6</f>
        <v>4.564229992738265</v>
      </c>
      <c r="AI5" s="22">
        <v>2.37</v>
      </c>
      <c r="AJ5" s="22">
        <v>7.78</v>
      </c>
      <c r="AK5" s="22">
        <v>3.84</v>
      </c>
      <c r="AL5" s="96">
        <f>0.004617/E5*10^6</f>
        <v>13.728371255121768</v>
      </c>
      <c r="AM5" s="22">
        <v>1.74</v>
      </c>
      <c r="AN5" s="65" t="s">
        <v>3</v>
      </c>
      <c r="AO5" s="65" t="s">
        <v>3</v>
      </c>
      <c r="AP5" s="65" t="s">
        <v>3</v>
      </c>
      <c r="AQ5" s="65" t="s">
        <v>3</v>
      </c>
      <c r="AR5" s="65" t="s">
        <v>3</v>
      </c>
      <c r="AS5" s="46">
        <f>(336.31201-336.3108)/336.3108*10^6</f>
        <v>3.5978624534644394</v>
      </c>
      <c r="AT5" s="46">
        <f>(336.30829-336.3108)/336.30829*10^6</f>
        <v>-7.4633902125114986</v>
      </c>
      <c r="AU5" s="46">
        <f>(336.31241-336.3108)/336.3108*10^6</f>
        <v>4.7872384711637777</v>
      </c>
      <c r="AV5" s="46">
        <f>(336.3125-336.3108)/336.3108*10^6</f>
        <v>5.0548480751376781</v>
      </c>
      <c r="AW5" s="53" t="s">
        <v>3</v>
      </c>
      <c r="AX5" s="53" t="s">
        <v>3</v>
      </c>
      <c r="AY5" s="57" t="s">
        <v>3</v>
      </c>
      <c r="AZ5" s="57" t="s">
        <v>3</v>
      </c>
      <c r="BA5" s="121" t="s">
        <v>3</v>
      </c>
    </row>
    <row r="6" spans="1:53" x14ac:dyDescent="0.25">
      <c r="A6" s="38">
        <v>3</v>
      </c>
      <c r="B6" s="139" t="s">
        <v>58</v>
      </c>
      <c r="C6" s="38" t="s">
        <v>138</v>
      </c>
      <c r="D6" s="38" t="s">
        <v>146</v>
      </c>
      <c r="E6" s="48">
        <v>380.33704999999998</v>
      </c>
      <c r="F6" s="23" t="s">
        <v>3</v>
      </c>
      <c r="G6" s="23" t="s">
        <v>3</v>
      </c>
      <c r="H6" s="23" t="s">
        <v>3</v>
      </c>
      <c r="I6" s="24">
        <v>6.24</v>
      </c>
      <c r="J6" s="24">
        <v>4.74</v>
      </c>
      <c r="K6" s="117" t="s">
        <v>3</v>
      </c>
      <c r="L6" s="15">
        <f>(380.33661-E6)/380.33661*10^6</f>
        <v>-1.1568699630812078</v>
      </c>
      <c r="M6" s="15">
        <f>(380.33719-380.33705)/E6*10^6</f>
        <v>0.3680945625582307</v>
      </c>
      <c r="N6" s="15">
        <f>(380.33691-380.33705)/380.33691*10^6</f>
        <v>-0.3680946979024321</v>
      </c>
      <c r="O6" s="16">
        <f>(380.3371-380.33705)/E6*10^6</f>
        <v>0.13146234384552438</v>
      </c>
      <c r="P6" s="15">
        <f>(380.33731-380.33705)/E6*10^6</f>
        <v>0.68360418745868734</v>
      </c>
      <c r="Q6" s="16">
        <f>(380.33771-E6)/E6*10^6</f>
        <v>1.7353029373261502</v>
      </c>
      <c r="R6" s="15">
        <f>(380.33719-E6)/E6*10^6</f>
        <v>0.3680945625582307</v>
      </c>
      <c r="S6" s="16">
        <f>(380.3364-E6)/380.3364*10^6</f>
        <v>-1.7090133890695802</v>
      </c>
      <c r="T6" s="15">
        <f>(380.33719-E6)/E6*10^6</f>
        <v>0.3680945625582307</v>
      </c>
      <c r="U6" s="15" t="s">
        <v>3</v>
      </c>
      <c r="V6" s="15">
        <f>(380.33701-E6)/380.33701*10^6</f>
        <v>-0.10516988592788572</v>
      </c>
      <c r="W6" s="20">
        <f>(380.3371-E6)/E6*10^6</f>
        <v>0.13146234384552438</v>
      </c>
      <c r="X6" s="20">
        <f>(380.3371-E6)/380.3371*10^6</f>
        <v>0.1314623265631788</v>
      </c>
      <c r="Y6" s="20">
        <f>(380.33719-E6)/E6*10^6</f>
        <v>0.3680945625582307</v>
      </c>
      <c r="Z6" s="17">
        <f>(380.3381-E6)/380.3381*10^6</f>
        <v>2.7607015968703781</v>
      </c>
      <c r="AA6" s="18" t="s">
        <v>3</v>
      </c>
      <c r="AB6" s="18" t="s">
        <v>3</v>
      </c>
      <c r="AC6" s="19">
        <f>(380.33691-E6)/380.33691*10^6</f>
        <v>-0.3680946979024321</v>
      </c>
      <c r="AD6" s="19" t="s">
        <v>3</v>
      </c>
      <c r="AE6" s="21">
        <f>(380.33736-E6)/E6*10^6</f>
        <v>0.81506653115475636</v>
      </c>
      <c r="AF6" s="21">
        <f>(380.33814-E6)/E6*10^6</f>
        <v>2.8658790933813627</v>
      </c>
      <c r="AG6" s="21">
        <f>(380.33671-E6)/380.33671*10^6</f>
        <v>-0.8939447364789842</v>
      </c>
      <c r="AH6" s="21">
        <f>(380.33836-E6)/E6*10^6</f>
        <v>3.4443134058234128</v>
      </c>
      <c r="AI6" s="22">
        <v>2.5</v>
      </c>
      <c r="AJ6" s="22">
        <v>7.78</v>
      </c>
      <c r="AK6" s="22">
        <v>0.68</v>
      </c>
      <c r="AL6" s="22">
        <v>1.1200000000000001</v>
      </c>
      <c r="AM6" s="22">
        <v>1.8</v>
      </c>
      <c r="AN6" s="65" t="s">
        <v>3</v>
      </c>
      <c r="AO6" s="65" t="s">
        <v>3</v>
      </c>
      <c r="AP6" s="65" t="s">
        <v>3</v>
      </c>
      <c r="AQ6" s="65" t="s">
        <v>3</v>
      </c>
      <c r="AR6" s="65" t="s">
        <v>3</v>
      </c>
      <c r="AS6" s="46">
        <f>(380.33871-380.3371)/380.3371*10^6</f>
        <v>4.2330869115083001</v>
      </c>
      <c r="AT6" s="46">
        <f>(380.33511-380.3371)/380.33511*10^6</f>
        <v>-5.2322279687373516</v>
      </c>
      <c r="AU6" s="46">
        <f>(380.33661-380.3371)/380.33661*10^6</f>
        <v>-1.288332459011569</v>
      </c>
      <c r="AV6" s="46">
        <v>0</v>
      </c>
      <c r="AW6" s="53" t="s">
        <v>3</v>
      </c>
      <c r="AX6" s="53" t="s">
        <v>3</v>
      </c>
      <c r="AY6" s="57">
        <f>(380.33698-E6)/380.33698*10^6</f>
        <v>-0.18404731507779562</v>
      </c>
      <c r="AZ6" s="57" t="s">
        <v>3</v>
      </c>
      <c r="BA6" s="121" t="s">
        <v>3</v>
      </c>
    </row>
    <row r="7" spans="1:53" s="31" customFormat="1" x14ac:dyDescent="0.25">
      <c r="A7" s="38">
        <v>4</v>
      </c>
      <c r="B7" s="139" t="s">
        <v>59</v>
      </c>
      <c r="C7" s="38" t="s">
        <v>138</v>
      </c>
      <c r="D7" s="38" t="s">
        <v>147</v>
      </c>
      <c r="E7" s="48">
        <v>424.36326500000001</v>
      </c>
      <c r="F7" s="23">
        <f>(424.36292-E7)/424.36292*10^6</f>
        <v>-0.81298337762039496</v>
      </c>
      <c r="G7" s="23">
        <f>(424.36292-E7)/MIN(424.36292,E7)*10^6</f>
        <v>-0.81298337762039496</v>
      </c>
      <c r="H7" s="23">
        <f>(424.3624-E7)/MIN(424.3624,E7)*10^6</f>
        <v>-2.0383521255252077</v>
      </c>
      <c r="I7" s="24">
        <v>-2.6</v>
      </c>
      <c r="J7" s="24">
        <v>-0.91</v>
      </c>
      <c r="K7" s="117" t="s">
        <v>3</v>
      </c>
      <c r="L7" s="16">
        <f>(424.36261-E7)/424.36261*10^6</f>
        <v>-1.5434913080460673</v>
      </c>
      <c r="M7" s="15">
        <f>(424.3634-424.36327)/E7*10^6</f>
        <v>0.30634131352731969</v>
      </c>
      <c r="N7" s="16">
        <f>(424.36301-424.36327)/424.36301*10^6</f>
        <v>-0.61268299521601599</v>
      </c>
      <c r="O7" s="16">
        <f>(424.3631-424.36327)/424.3631*10^6</f>
        <v>-0.40060033500919057</v>
      </c>
      <c r="P7" s="15">
        <f>(424.3634-E7)/E7*10^6</f>
        <v>0.31812367170899741</v>
      </c>
      <c r="Q7" s="16">
        <f>(424.36401-E7)/E7*10^6</f>
        <v>1.7555713734903247</v>
      </c>
      <c r="R7" s="15">
        <f>(424.3634-E7)/E7*10^6</f>
        <v>0.31812367170899741</v>
      </c>
      <c r="S7" s="16">
        <f>(424.3624-E7)/424.3624*10^6</f>
        <v>-2.0383521255252077</v>
      </c>
      <c r="T7" s="15">
        <f>(424.3634-E7)/E7*10^6</f>
        <v>0.31812367170899741</v>
      </c>
      <c r="U7" s="15" t="s">
        <v>3</v>
      </c>
      <c r="V7" s="16">
        <f>(424.36319-E7)/424.36319*10^6</f>
        <v>-0.17673540449636285</v>
      </c>
      <c r="W7" s="20">
        <f>(424.36331-E7)/E7*10^6</f>
        <v>0.10604122390299915</v>
      </c>
      <c r="X7" s="20">
        <f>(424.36319-E7)/424.36319*10^6</f>
        <v>-0.17673540449636285</v>
      </c>
      <c r="Y7" s="20">
        <f>(424.36349-E7)/E7*10^6</f>
        <v>0.53020611951499574</v>
      </c>
      <c r="Z7" s="17">
        <f>(424.36429-E7)/424.36429*10^6</f>
        <v>2.4153775992086368</v>
      </c>
      <c r="AA7" s="18" t="s">
        <v>3</v>
      </c>
      <c r="AB7" s="18" t="s">
        <v>3</v>
      </c>
      <c r="AC7" s="19">
        <f>(424.36301-E7)/424.36301*10^6</f>
        <v>-0.60090062995431193</v>
      </c>
      <c r="AD7" s="19" t="s">
        <v>3</v>
      </c>
      <c r="AE7" s="21">
        <f>(424.36401-E7)/E7*10^6</f>
        <v>1.7555713734903247</v>
      </c>
      <c r="AF7" s="21">
        <f>(424.36426-E7)/E7*10^6</f>
        <v>2.3446892840476585</v>
      </c>
      <c r="AG7" s="21">
        <f>(424.3628-E7)/424.3628*10^6</f>
        <v>-1.0957605143987637</v>
      </c>
      <c r="AH7" s="21">
        <f>(424.36484-E7)/E7*10^6</f>
        <v>3.7114428366049697</v>
      </c>
      <c r="AI7" s="22">
        <v>2.84</v>
      </c>
      <c r="AJ7" s="22">
        <v>1.64</v>
      </c>
      <c r="AK7" s="22">
        <v>1.42</v>
      </c>
      <c r="AL7" s="22">
        <v>1.22</v>
      </c>
      <c r="AM7" s="22">
        <v>0.26</v>
      </c>
      <c r="AN7" s="65" t="s">
        <v>3</v>
      </c>
      <c r="AO7" s="65" t="s">
        <v>3</v>
      </c>
      <c r="AP7" s="65" t="s">
        <v>3</v>
      </c>
      <c r="AQ7" s="65" t="s">
        <v>3</v>
      </c>
      <c r="AR7" s="65" t="s">
        <v>3</v>
      </c>
      <c r="AS7" s="46">
        <f>(424.36292-424.3633)/424.36292*10^6</f>
        <v>-0.89545995207811835</v>
      </c>
      <c r="AT7" s="46">
        <f>(424.3616-424.3633)/424.3616*10^6</f>
        <v>-4.0060175095276502</v>
      </c>
      <c r="AU7" s="46">
        <f>(424.36301-424.3633)/426.36301*10^6</f>
        <v>-0.68017157493748071</v>
      </c>
      <c r="AV7" s="46">
        <f>(424.3649-424.3633)/424.3633*10^6</f>
        <v>3.7703543166816527</v>
      </c>
      <c r="AW7" s="53" t="s">
        <v>3</v>
      </c>
      <c r="AX7" s="53" t="s">
        <v>3</v>
      </c>
      <c r="AY7" s="57">
        <f>(424.36285-E7)/424.36285*10^6</f>
        <v>-0.97793668798352806</v>
      </c>
      <c r="AZ7" s="57" t="s">
        <v>3</v>
      </c>
      <c r="BA7" s="121" t="s">
        <v>3</v>
      </c>
    </row>
    <row r="8" spans="1:53" x14ac:dyDescent="0.25">
      <c r="A8" s="38">
        <v>5</v>
      </c>
      <c r="B8" s="139" t="s">
        <v>60</v>
      </c>
      <c r="C8" s="38" t="s">
        <v>138</v>
      </c>
      <c r="D8" s="38" t="s">
        <v>148</v>
      </c>
      <c r="E8" s="48">
        <v>468.38947899999999</v>
      </c>
      <c r="F8" s="23">
        <f>(468.38708-E8)/468.38708*10^6</f>
        <v>-5.1218321392821284</v>
      </c>
      <c r="G8" s="23">
        <f>(468.38721-E8)/MIN(468.38721,E8)*10^6</f>
        <v>-4.8442825755479344</v>
      </c>
      <c r="H8" s="23">
        <f>(468.38721-E8)/MIN(468.38721,E8)*10^6</f>
        <v>-4.8442825755479344</v>
      </c>
      <c r="I8" s="24">
        <v>-0.56999999999999995</v>
      </c>
      <c r="J8" s="24">
        <v>-1.68</v>
      </c>
      <c r="K8" s="117" t="s">
        <v>3</v>
      </c>
      <c r="L8" s="16">
        <f>(468.38849-E8)/468.38849*10^6</f>
        <v>-2.111495096739302</v>
      </c>
      <c r="M8" s="15">
        <f>(468.3894-468.38948)/468.3894*10^6</f>
        <v>-0.17079805812973065</v>
      </c>
      <c r="N8" s="16">
        <f>(468.38889-468.38948)/468.38889*10^6</f>
        <v>-1.2596370507172407</v>
      </c>
      <c r="O8" s="16">
        <f>(468.3891-468.38948)/468.3891*10^6</f>
        <v>-0.81129129607612638</v>
      </c>
      <c r="P8" s="15">
        <f>(468.38919-E8)/468.38919*10^6</f>
        <v>-0.61700826188860081</v>
      </c>
      <c r="Q8" s="16">
        <f>(468.39001-E8)/E8*10^6</f>
        <v>1.133671920123543</v>
      </c>
      <c r="R8" s="16">
        <f>(468.38931-E8)/468.38931*10^6</f>
        <v>-0.3608109672084957</v>
      </c>
      <c r="S8" s="16">
        <f>(468.38821-E8)/468.38821*10^6</f>
        <v>-2.7092910813859179</v>
      </c>
      <c r="T8" s="15">
        <f>(468.38931-E8)/468.38931*10^6</f>
        <v>-0.3608109672084957</v>
      </c>
      <c r="U8" s="15" t="s">
        <v>3</v>
      </c>
      <c r="V8" s="16">
        <f>(468.3891-E8)/468.3891*10^6</f>
        <v>-0.80915631898661844</v>
      </c>
      <c r="W8" s="28">
        <f>(468.38959-E8)/E8*10^6</f>
        <v>0.23698226578648032</v>
      </c>
      <c r="X8" s="28">
        <f>(468.3894-E8)/468.3894*10^6</f>
        <v>-0.16866308240766001</v>
      </c>
      <c r="Y8" s="28">
        <f>(468.3894-E8)/468.3894*10^6</f>
        <v>-0.16866308240766001</v>
      </c>
      <c r="Z8" s="26">
        <f>(468.39081-E8)/468.39081*10^6</f>
        <v>2.8416441389900666</v>
      </c>
      <c r="AA8" s="18" t="s">
        <v>3</v>
      </c>
      <c r="AB8" s="18" t="s">
        <v>3</v>
      </c>
      <c r="AC8" s="27">
        <f>(468.38901-E8)/468.38901*10^6</f>
        <v>-1.0013044499263564</v>
      </c>
      <c r="AD8" s="19" t="s">
        <v>3</v>
      </c>
      <c r="AE8" s="21">
        <f>(468.39017-E8)/E8*10^6</f>
        <v>1.4752679788897196</v>
      </c>
      <c r="AF8" s="21">
        <f>(468.39119-E8)/E8*10^6</f>
        <v>3.6529428535696038</v>
      </c>
      <c r="AG8" s="21">
        <f>(468.38917-E8)/468.38917*10^6</f>
        <v>-0.65970782376470805</v>
      </c>
      <c r="AH8" s="21">
        <f>(468.39052-E8)/E8*10^6</f>
        <v>2.2225093574028056</v>
      </c>
      <c r="AI8" s="22">
        <v>2.99</v>
      </c>
      <c r="AJ8" s="22">
        <v>-1.29</v>
      </c>
      <c r="AK8" s="22">
        <v>1.28</v>
      </c>
      <c r="AL8" s="22">
        <v>0.82</v>
      </c>
      <c r="AM8" s="22">
        <v>0.75</v>
      </c>
      <c r="AN8" s="65" t="s">
        <v>3</v>
      </c>
      <c r="AO8" s="65" t="s">
        <v>3</v>
      </c>
      <c r="AP8" s="65" t="s">
        <v>3</v>
      </c>
      <c r="AQ8" s="65" t="s">
        <v>3</v>
      </c>
      <c r="AR8" s="65" t="s">
        <v>3</v>
      </c>
      <c r="AS8" s="46">
        <f>(468.38901-468.3895)/468.38901*10^6</f>
        <v>-1.0461389775422445</v>
      </c>
      <c r="AT8" s="46">
        <f>(468.38739-468.3895)/468.38739*10^6</f>
        <v>-4.5048181165083108</v>
      </c>
      <c r="AU8" s="46">
        <f>(468.3877-468.3895)/468.3877*10^6</f>
        <v>-3.8429702573379072</v>
      </c>
      <c r="AV8" s="46">
        <f>(468.3905-468.3895)/468.3895*10^6</f>
        <v>2.1349752715984307</v>
      </c>
      <c r="AW8" s="53" t="s">
        <v>3</v>
      </c>
      <c r="AX8" s="53" t="s">
        <v>3</v>
      </c>
      <c r="AY8" s="57" t="s">
        <v>3</v>
      </c>
      <c r="AZ8" s="57" t="s">
        <v>3</v>
      </c>
      <c r="BA8" s="121" t="s">
        <v>3</v>
      </c>
    </row>
    <row r="9" spans="1:53" x14ac:dyDescent="0.25">
      <c r="A9" s="38">
        <v>6</v>
      </c>
      <c r="B9" s="139" t="s">
        <v>61</v>
      </c>
      <c r="C9" s="38" t="s">
        <v>138</v>
      </c>
      <c r="D9" s="38" t="s">
        <v>149</v>
      </c>
      <c r="E9" s="48">
        <v>512.41569400000003</v>
      </c>
      <c r="F9" s="23">
        <f>(512.41418-E9)/512.41418*10^6</f>
        <v>-2.9546411070100946</v>
      </c>
      <c r="G9" s="23">
        <f>(512.41412-E9)/MIN(512.41412,E9)*10^6</f>
        <v>-3.0717342449600555</v>
      </c>
      <c r="H9" s="23">
        <f>(512.41418-E9)/MIN(512.41418,E9)*10^6</f>
        <v>-2.9546411070100946</v>
      </c>
      <c r="I9" s="24">
        <v>1.71</v>
      </c>
      <c r="J9" s="24">
        <v>0.64</v>
      </c>
      <c r="K9" s="117" t="s">
        <v>3</v>
      </c>
      <c r="L9" s="16">
        <f>(512.41449-E9)/512.41449*10^6</f>
        <v>-2.3496603307016879</v>
      </c>
      <c r="M9" s="15">
        <f>(512.41553-512.41569)/512.41553*10^6</f>
        <v>-0.31224658638036629</v>
      </c>
      <c r="N9" s="16">
        <f>(468.38889-468.38948)/468.38889*10^6</f>
        <v>-1.2596370507172407</v>
      </c>
      <c r="O9" s="16">
        <f>(512.41522-512.41569)/512.41522*10^6</f>
        <v>-0.91722490222659525</v>
      </c>
      <c r="P9" s="15">
        <f>(512.41541-E9)/512.41541*10^6</f>
        <v>-0.55423782059711435</v>
      </c>
      <c r="Q9" s="16">
        <f>(512.41602-E9)/E9*10^6</f>
        <v>0.63620221587658277</v>
      </c>
      <c r="R9" s="16">
        <f>(512.41541-E9)/512.41541*10^6</f>
        <v>-0.55423782059711435</v>
      </c>
      <c r="S9" s="16">
        <f>(512.41412-E9)/512.41412*10^6</f>
        <v>-3.0717342449600555</v>
      </c>
      <c r="T9" s="15">
        <f>(512.41528-E9)/512.41528*10^6</f>
        <v>-0.80793843614095973</v>
      </c>
      <c r="U9" s="15" t="s">
        <v>3</v>
      </c>
      <c r="V9" s="16">
        <f>(512.41522-E9)/512.41522*10^6</f>
        <v>-0.92503107158647679</v>
      </c>
      <c r="W9" s="28">
        <f>(512.41577-E9)/E9*10^6</f>
        <v>0.14831708086170617</v>
      </c>
      <c r="X9" s="28">
        <f>(512.41571-E9)/E9*10^6</f>
        <v>3.122464855575614E-2</v>
      </c>
      <c r="Y9" s="28">
        <f>(512.4162-E9)/E9*10^6</f>
        <v>0.98747951301629733</v>
      </c>
      <c r="Z9" s="26">
        <f>(512.41638-E9)/512.41638*10^6</f>
        <v>1.3387550178886145</v>
      </c>
      <c r="AA9" s="18" t="s">
        <v>3</v>
      </c>
      <c r="AB9" s="18" t="s">
        <v>3</v>
      </c>
      <c r="AC9" s="27">
        <f>(512.41522-E9)/512.41522*10^6</f>
        <v>-0.92503107158647679</v>
      </c>
      <c r="AD9" s="19" t="s">
        <v>3</v>
      </c>
      <c r="AE9" s="21">
        <f>(512.4162-E9)/E9*10^6</f>
        <v>0.98747951301629733</v>
      </c>
      <c r="AF9" s="21">
        <f>(512.41694-E9)/E9*10^6</f>
        <v>2.4316195122698505</v>
      </c>
      <c r="AG9" s="21">
        <f>(512.41445-E9)/512.41445*10^6</f>
        <v>-2.4277223252436255</v>
      </c>
      <c r="AH9" s="21">
        <f>(512.41702-E9)/E9*10^6</f>
        <v>2.5877427554923602</v>
      </c>
      <c r="AI9" s="22">
        <v>2.89</v>
      </c>
      <c r="AJ9" s="22">
        <v>1.79</v>
      </c>
      <c r="AK9" s="22">
        <v>1.66</v>
      </c>
      <c r="AL9" s="22">
        <v>0.57999999999999996</v>
      </c>
      <c r="AM9" s="22">
        <v>0.54</v>
      </c>
      <c r="AN9" s="65" t="s">
        <v>3</v>
      </c>
      <c r="AO9" s="65" t="s">
        <v>3</v>
      </c>
      <c r="AP9" s="65" t="s">
        <v>3</v>
      </c>
      <c r="AQ9" s="65" t="s">
        <v>3</v>
      </c>
      <c r="AR9" s="65" t="s">
        <v>3</v>
      </c>
      <c r="AS9" s="46">
        <f>(512.41541-512.4157)/512.41541*10^6</f>
        <v>-0.56594707029522839</v>
      </c>
      <c r="AT9" s="46">
        <f>(512.41248-512.4157)/512.41248*10^6</f>
        <v>-6.2839999526470045</v>
      </c>
      <c r="AU9" s="46">
        <f>(512.41748-512.41571)/512.41571*10^6</f>
        <v>3.4542266472762249</v>
      </c>
      <c r="AV9" s="46">
        <f>(512.41638-512.4157)/512.4157*10^6</f>
        <v>1.3270475514088809</v>
      </c>
      <c r="AW9" s="53" t="s">
        <v>3</v>
      </c>
      <c r="AX9" s="53" t="s">
        <v>3</v>
      </c>
      <c r="AY9" s="57" t="s">
        <v>3</v>
      </c>
      <c r="AZ9" s="57" t="s">
        <v>3</v>
      </c>
      <c r="BA9" s="121" t="s">
        <v>3</v>
      </c>
    </row>
    <row r="10" spans="1:53" x14ac:dyDescent="0.25">
      <c r="A10" s="38">
        <v>7</v>
      </c>
      <c r="B10" s="139" t="s">
        <v>62</v>
      </c>
      <c r="C10" s="38" t="s">
        <v>138</v>
      </c>
      <c r="D10" s="38" t="s">
        <v>150</v>
      </c>
      <c r="E10" s="48">
        <v>556.44190900000001</v>
      </c>
      <c r="F10" s="23">
        <f>(556.44208-E10)/E10*10^6</f>
        <v>0.3073097070102494</v>
      </c>
      <c r="G10" s="23">
        <f>(556.4419-E10)/MIN(556.4419,E10)*10^6</f>
        <v>-1.6174195324394486E-2</v>
      </c>
      <c r="H10" s="23">
        <f>(556.4422-E10)/MIN(556.4422,E10)*10^6</f>
        <v>0.52296564158940206</v>
      </c>
      <c r="I10" s="24">
        <v>-0.84</v>
      </c>
      <c r="J10" s="24">
        <v>0.75</v>
      </c>
      <c r="K10" s="117" t="s">
        <v>3</v>
      </c>
      <c r="L10" s="16">
        <f>(556.44061-E10)/556.44061*10^6</f>
        <v>-2.3344809431095594</v>
      </c>
      <c r="M10" s="15">
        <f>(556.44141-556.44191)/556.44141*10^6</f>
        <v>-0.89856720043207516</v>
      </c>
      <c r="N10" s="16">
        <f>(512.41492-512.41569)/512.41492*10^6</f>
        <v>-1.5026884853169635</v>
      </c>
      <c r="O10" s="15">
        <f>(556.44122-556.44191)/556.44122*10^6</f>
        <v>-1.2400231599722609</v>
      </c>
      <c r="P10" s="15">
        <f>(556.44159-E10)/556.44159*10^6</f>
        <v>-0.57328568842312855</v>
      </c>
      <c r="Q10" s="15">
        <f>(556.44232-E10)/E10*10^6</f>
        <v>0.73862157637286496</v>
      </c>
      <c r="R10" s="16">
        <f>(556.44153-E10)/556.44153*10^6</f>
        <v>-0.68111379117640369</v>
      </c>
      <c r="S10" s="16">
        <f>(556.44019-E10)/556.44019*10^6</f>
        <v>-3.0892808083830929</v>
      </c>
      <c r="T10" s="15">
        <f>(556.44141-E10)/556.44141*10^6</f>
        <v>-0.89677006603570586</v>
      </c>
      <c r="U10" s="15" t="s">
        <v>3</v>
      </c>
      <c r="V10" s="16">
        <f>(556.44128-E10)/556.44128*10^6</f>
        <v>-1.1303978022686301</v>
      </c>
      <c r="W10" s="28">
        <f>(556.44189-E10)/556.44189*10^6</f>
        <v>-3.4145524280561355E-2</v>
      </c>
      <c r="X10" s="28">
        <f>(556.44177-E10)/556.44177*10^6</f>
        <v>-0.24980152009458106</v>
      </c>
      <c r="Y10" s="28">
        <f>(556.44287-E10)/E10*10^6</f>
        <v>1.7270446104395272</v>
      </c>
      <c r="Z10" s="26">
        <f>(556.44238-E10)/556.44238*10^6</f>
        <v>0.84644882718621783</v>
      </c>
      <c r="AA10" s="18" t="s">
        <v>3</v>
      </c>
      <c r="AB10" s="18" t="s">
        <v>3</v>
      </c>
      <c r="AC10" s="27">
        <f>(556.44141-E10)/556.44141*10^6</f>
        <v>-0.89677006603570586</v>
      </c>
      <c r="AD10" s="19" t="s">
        <v>3</v>
      </c>
      <c r="AE10" s="21">
        <f>(556.44249-E10)/E10*10^6</f>
        <v>1.0441341505983599</v>
      </c>
      <c r="AF10" s="21">
        <f>(556.44244-E10)/E10*10^6</f>
        <v>0.95427751115632797</v>
      </c>
      <c r="AG10" s="21">
        <f>(556.44159-E10)/556.44159*10^6</f>
        <v>-0.57328568842312855</v>
      </c>
      <c r="AH10" s="21">
        <f>(556.44325-E10)/E10*10^6</f>
        <v>2.4099550704850046</v>
      </c>
      <c r="AI10" s="22">
        <v>3.71</v>
      </c>
      <c r="AJ10" s="22">
        <v>0.16</v>
      </c>
      <c r="AK10" s="22">
        <v>2.3199999999999998</v>
      </c>
      <c r="AL10" s="22">
        <v>1.1299999999999999</v>
      </c>
      <c r="AM10" s="22">
        <v>1.96</v>
      </c>
      <c r="AN10" s="65" t="s">
        <v>3</v>
      </c>
      <c r="AO10" s="65" t="s">
        <v>3</v>
      </c>
      <c r="AP10" s="65" t="s">
        <v>3</v>
      </c>
      <c r="AQ10" s="65" t="s">
        <v>3</v>
      </c>
      <c r="AR10" s="65" t="s">
        <v>3</v>
      </c>
      <c r="AS10" s="46">
        <f>(556.44427-556.4419)/556.4419*10^6</f>
        <v>4.2592047793813519</v>
      </c>
      <c r="AT10" s="46">
        <f>(556.43988-556.4419)/556.43988*10^6</f>
        <v>-3.6302214715737087</v>
      </c>
      <c r="AU10" s="46">
        <f>(556.44012-556.4419)/556.44012*10^6</f>
        <v>-3.1989066497458984</v>
      </c>
      <c r="AV10" s="46">
        <f>(556.43988-556.4419)/556.43988*10^6</f>
        <v>-3.6302214715737087</v>
      </c>
      <c r="AW10" s="53" t="s">
        <v>3</v>
      </c>
      <c r="AX10" s="53" t="s">
        <v>3</v>
      </c>
      <c r="AY10" s="57" t="s">
        <v>3</v>
      </c>
      <c r="AZ10" s="57" t="s">
        <v>3</v>
      </c>
      <c r="BA10" s="121" t="s">
        <v>3</v>
      </c>
    </row>
    <row r="11" spans="1:53" x14ac:dyDescent="0.25">
      <c r="A11" s="38">
        <v>8</v>
      </c>
      <c r="B11" s="139" t="s">
        <v>63</v>
      </c>
      <c r="C11" s="38" t="s">
        <v>138</v>
      </c>
      <c r="D11" s="38" t="s">
        <v>151</v>
      </c>
      <c r="E11" s="48">
        <v>600.46812399999999</v>
      </c>
      <c r="F11" s="23">
        <f>(600.4693-E11)/E11*10^6</f>
        <v>1.9584719870771081</v>
      </c>
      <c r="G11" s="23">
        <f>(600.46918-E11)/MIN(600.46918,E11)*10^6</f>
        <v>1.7586279068867616</v>
      </c>
      <c r="H11" s="23">
        <f>(600.4693-E11)/MIN(600.4693,E11)*10^6</f>
        <v>1.9584719870771081</v>
      </c>
      <c r="I11" s="25" t="s">
        <v>3</v>
      </c>
      <c r="J11" s="24" t="s">
        <v>3</v>
      </c>
      <c r="K11" s="117" t="s">
        <v>3</v>
      </c>
      <c r="L11" s="16">
        <f>(600.46692-E11)/600.46692*10^6</f>
        <v>-2.0051062929990167</v>
      </c>
      <c r="M11" s="16">
        <f>(600.46759-600.46812)/600.46759*10^6</f>
        <v>-0.8826454730489629</v>
      </c>
      <c r="N11" s="16">
        <f>(512.41492-512.41569)/512.41492*10^6</f>
        <v>-1.5026884853169635</v>
      </c>
      <c r="O11" s="16">
        <f>(600.46722-600.46812)/600.46722*10^6</f>
        <v>-1.4988328588552347</v>
      </c>
      <c r="P11" s="15">
        <f>(600.46753-E11)/600.46753*10^6</f>
        <v>-0.98922917610253303</v>
      </c>
      <c r="Q11" s="15">
        <f>(600.46808-E11)/600.46808*10^6</f>
        <v>-7.3276168156344829E-2</v>
      </c>
      <c r="R11" s="16">
        <f>(600.46771-E11)/600.46771*10^6</f>
        <v>-0.68946255241257193</v>
      </c>
      <c r="S11" s="16">
        <f>(600.46631-E11)/600.46631*10^6</f>
        <v>-3.0209854737188566</v>
      </c>
      <c r="T11" s="15">
        <f>(600.46759-E11)/600.46759*10^6</f>
        <v>-0.88930694830011003</v>
      </c>
      <c r="U11" s="15" t="s">
        <v>3</v>
      </c>
      <c r="V11" s="16">
        <f>(600.46729-E11)/600.46729*10^6</f>
        <v>-1.3889182871904904</v>
      </c>
      <c r="W11" s="28">
        <f>(600.46832-E11)/E11*10^6</f>
        <v>0.3264119977830745</v>
      </c>
      <c r="X11" s="28">
        <f>(600.46808-E11)/600.46808*10^6</f>
        <v>-7.3276168156344829E-2</v>
      </c>
      <c r="Y11" s="28">
        <f>(600.46808-E11)/600.46808*10^6</f>
        <v>-7.3276168156344829E-2</v>
      </c>
      <c r="Z11" s="26">
        <f>(600.46881-E11)/600.46881*10^6</f>
        <v>1.1424406872578761</v>
      </c>
      <c r="AA11" s="18" t="s">
        <v>3</v>
      </c>
      <c r="AB11" s="18" t="s">
        <v>3</v>
      </c>
      <c r="AC11" s="27">
        <f>(600.46753-E11)/600.46753*10^6</f>
        <v>-0.98922917610253303</v>
      </c>
      <c r="AD11" s="19" t="s">
        <v>3</v>
      </c>
      <c r="AE11" s="21">
        <f>(600.4688-E11)/E11*10^6</f>
        <v>1.1257883191124507</v>
      </c>
      <c r="AF11" s="21">
        <f>(600.46801-E11)/600.46801*10^6</f>
        <v>-0.18985191224350376</v>
      </c>
      <c r="AG11" s="21">
        <f>(600.46635-E11)/600.46635*10^6</f>
        <v>-2.954370382211871</v>
      </c>
      <c r="AH11" s="21">
        <f>(600.47027-E11)/E11*10^6</f>
        <v>3.5738783030535006</v>
      </c>
      <c r="AI11" s="22">
        <v>3.38</v>
      </c>
      <c r="AJ11" s="22">
        <v>-0.74</v>
      </c>
      <c r="AK11" s="22">
        <v>1.86</v>
      </c>
      <c r="AL11" s="22">
        <v>1.36</v>
      </c>
      <c r="AM11" s="22">
        <v>1.19</v>
      </c>
      <c r="AN11" s="65" t="s">
        <v>3</v>
      </c>
      <c r="AO11" s="65" t="s">
        <v>3</v>
      </c>
      <c r="AP11" s="65" t="s">
        <v>3</v>
      </c>
      <c r="AQ11" s="65" t="s">
        <v>3</v>
      </c>
      <c r="AR11" s="65" t="s">
        <v>3</v>
      </c>
      <c r="AS11" s="46">
        <f>(600.46729-600.4681)/600.46729*10^6</f>
        <v>-1.3489494157147337</v>
      </c>
      <c r="AT11" s="46">
        <f>(600.46692-600.4681)/600.46692*10^6</f>
        <v>-1.9651373968949548</v>
      </c>
      <c r="AU11" s="46">
        <f>(600.46667-600.4681)/600.46667*10^6</f>
        <v>-2.3814810571044283</v>
      </c>
      <c r="AV11" s="46">
        <f>(600.47162-600.4681)/600.4681*10^6</f>
        <v>5.8620932568781381</v>
      </c>
      <c r="AW11" s="53" t="s">
        <v>3</v>
      </c>
      <c r="AX11" s="53" t="s">
        <v>3</v>
      </c>
      <c r="AY11" s="57" t="s">
        <v>3</v>
      </c>
      <c r="AZ11" s="57" t="s">
        <v>3</v>
      </c>
      <c r="BA11" s="121" t="s">
        <v>3</v>
      </c>
    </row>
    <row r="12" spans="1:53" x14ac:dyDescent="0.25">
      <c r="A12" s="38">
        <v>9</v>
      </c>
      <c r="B12" s="139" t="s">
        <v>64</v>
      </c>
      <c r="C12" s="38" t="s">
        <v>138</v>
      </c>
      <c r="D12" s="38" t="s">
        <v>152</v>
      </c>
      <c r="E12" s="48">
        <v>644.49433799999997</v>
      </c>
      <c r="F12" s="23">
        <f>(644.49463-E12)/E12*10^6</f>
        <v>0.45306837134475919</v>
      </c>
      <c r="G12" s="23">
        <f>(644.49438-E12)/MIN(644.49438,E12)*10^6</f>
        <v>6.51673684798873E-2</v>
      </c>
      <c r="H12" s="23">
        <f>(644.49463-E12)/MIN(644.49463,E12)*10^6</f>
        <v>0.45306837134475919</v>
      </c>
      <c r="I12" s="25" t="s">
        <v>3</v>
      </c>
      <c r="J12" s="24" t="s">
        <v>3</v>
      </c>
      <c r="K12" s="117" t="s">
        <v>3</v>
      </c>
      <c r="L12" s="16">
        <f>(644.49292-E12)/644.49292*10^6</f>
        <v>-2.200179328493145</v>
      </c>
      <c r="M12" s="16">
        <f>(644.49371-644.49434)/644.49371*10^6</f>
        <v>-0.97751147951625261</v>
      </c>
      <c r="N12" s="16">
        <f>(556.44098-556.44191)/556.44098*10^6</f>
        <v>-1.6713362844688386</v>
      </c>
      <c r="O12" s="16">
        <f>(644.49329-644.49434)/644.49329*10^6</f>
        <v>-1.6291868608341944</v>
      </c>
      <c r="P12" s="15">
        <f>(644.49371-E12)/644.49371*10^6</f>
        <v>-0.9744082684780091</v>
      </c>
      <c r="Q12" s="15">
        <f>(644.49463-E12)/E12*10^6</f>
        <v>0.45306837134475919</v>
      </c>
      <c r="R12" s="16">
        <f>(644.49377-E12)/644.49377*10^6</f>
        <v>-0.88131185493101027</v>
      </c>
      <c r="S12" s="16">
        <f>(644.49231-E12)/644.49231*10^6</f>
        <v>-3.1466628360479585</v>
      </c>
      <c r="T12" s="15">
        <f>(644.49377-E12)/644.49377*10^6</f>
        <v>-0.88131185493101027</v>
      </c>
      <c r="U12" s="15" t="s">
        <v>3</v>
      </c>
      <c r="V12" s="16">
        <f>(644.49298-E12)/644.49298*10^6</f>
        <v>-2.1070826868928578</v>
      </c>
      <c r="W12" s="28">
        <f>(644.49438-E12)/E12*10^6</f>
        <v>6.51673684798873E-2</v>
      </c>
      <c r="X12" s="28">
        <f>(644.49438-E12)/644.49438*10^6</f>
        <v>6.5167364233101668E-2</v>
      </c>
      <c r="Y12" s="28">
        <f>(644.49432-E12)/644.49432*10^6</f>
        <v>-2.7928872910089213E-2</v>
      </c>
      <c r="Z12" s="26">
        <f>(644.495-E12)/644.495*10^6</f>
        <v>1.0271608003691466</v>
      </c>
      <c r="AA12" s="18" t="s">
        <v>3</v>
      </c>
      <c r="AB12" s="18" t="s">
        <v>3</v>
      </c>
      <c r="AC12" s="27">
        <f>(644.49371-E12)/644.49371*10^6</f>
        <v>-0.9744082684780091</v>
      </c>
      <c r="AD12" s="19" t="s">
        <v>3</v>
      </c>
      <c r="AE12" s="21">
        <f>(644.4949-E12)/E12*10^6</f>
        <v>0.87200145435415022</v>
      </c>
      <c r="AF12" s="21" t="s">
        <v>3</v>
      </c>
      <c r="AG12" s="21">
        <f>(644.49214-E12)/644.49214*10^6</f>
        <v>-3.4104372475686651</v>
      </c>
      <c r="AH12" s="21">
        <f>(644.49478-E12)/E12*10^6</f>
        <v>0.68580897295784415</v>
      </c>
      <c r="AI12" s="22">
        <v>2.95</v>
      </c>
      <c r="AJ12" s="22">
        <v>-1.99</v>
      </c>
      <c r="AK12" s="22">
        <v>1.38</v>
      </c>
      <c r="AL12" s="22">
        <v>-0.89</v>
      </c>
      <c r="AM12" s="22">
        <v>1.4926430588321071</v>
      </c>
      <c r="AN12" s="65" t="s">
        <v>3</v>
      </c>
      <c r="AO12" s="65" t="s">
        <v>3</v>
      </c>
      <c r="AP12" s="65" t="s">
        <v>3</v>
      </c>
      <c r="AQ12" s="65" t="s">
        <v>3</v>
      </c>
      <c r="AR12" s="65" t="s">
        <v>3</v>
      </c>
      <c r="AS12" s="46">
        <f>(644.49762-644.4943)/644.4943*10^6</f>
        <v>5.1513256207706295</v>
      </c>
      <c r="AT12" s="46">
        <f>(644.49268-644.4943)/644.49268*10^6</f>
        <v>-2.5136049644545526</v>
      </c>
      <c r="AU12" s="46">
        <f>(644.49561-644.4943)/644.4943*10^6</f>
        <v>2.0326013746020304</v>
      </c>
      <c r="AV12" s="46">
        <f>(644.49548-644.4943)/644.4943*10^6</f>
        <v>1.8308928412405372</v>
      </c>
      <c r="AW12" s="53" t="s">
        <v>3</v>
      </c>
      <c r="AX12" s="53" t="s">
        <v>3</v>
      </c>
      <c r="AY12" s="57" t="s">
        <v>3</v>
      </c>
      <c r="AZ12" s="57" t="s">
        <v>3</v>
      </c>
      <c r="BA12" s="121" t="s">
        <v>3</v>
      </c>
    </row>
    <row r="13" spans="1:53" x14ac:dyDescent="0.25">
      <c r="A13" s="38">
        <v>10</v>
      </c>
      <c r="B13" s="139" t="s">
        <v>65</v>
      </c>
      <c r="C13" s="38" t="s">
        <v>138</v>
      </c>
      <c r="D13" s="38" t="s">
        <v>153</v>
      </c>
      <c r="E13" s="48">
        <v>688.52055299999995</v>
      </c>
      <c r="F13" s="23">
        <f>(688.51593-E13)/688.51593*10^6</f>
        <v>-6.7144415960341028</v>
      </c>
      <c r="G13" s="23">
        <f>(688.52228-E13)/MIN(688.52228,E13)*10^6</f>
        <v>2.5082766121486149</v>
      </c>
      <c r="H13" s="23">
        <f>(688.5206-E13)/MIN(688.5206,E13)*10^6</f>
        <v>6.8262305010702046E-2</v>
      </c>
      <c r="I13" s="25" t="s">
        <v>3</v>
      </c>
      <c r="J13" s="24" t="s">
        <v>3</v>
      </c>
      <c r="K13" s="117" t="s">
        <v>3</v>
      </c>
      <c r="L13" s="16">
        <f>(688.51892-E13)/688.51892*10^6</f>
        <v>-2.3717576271829937</v>
      </c>
      <c r="M13" s="16">
        <f>(688.51959-688.52055)/688.51959*10^6</f>
        <v>-1.3942958398085037</v>
      </c>
      <c r="N13" s="16">
        <f>(688.51788-688.52055)/688.51788*10^6</f>
        <v>-3.8778949356644472</v>
      </c>
      <c r="O13" s="16">
        <f>(688.51959-688.52055)/688.51959*10^6</f>
        <v>-1.3942958398085037</v>
      </c>
      <c r="P13" s="15">
        <f>(688.51959-E13)/688.51959*10^6</f>
        <v>-1.3986530142970695</v>
      </c>
      <c r="Q13" s="15">
        <f>(688.52008-E13)/688.52008*10^6</f>
        <v>-0.68698069044356436</v>
      </c>
      <c r="R13" s="16">
        <f>(688.52002-E13)/688.52002*10^6</f>
        <v>-0.77412418582230846</v>
      </c>
      <c r="S13" s="16">
        <f>(688.51819-E13)/688.51819*10^6</f>
        <v>-3.4320080925468566</v>
      </c>
      <c r="T13" s="15">
        <f>(688.52008-E13)/688.52008*10^6</f>
        <v>-0.68698069044356436</v>
      </c>
      <c r="U13" s="15" t="s">
        <v>3</v>
      </c>
      <c r="V13" s="16">
        <f>(688.51947-E13)/688.51947*10^6</f>
        <v>-1.5729402684780607</v>
      </c>
      <c r="W13" s="28">
        <f>(688.52081-E13)/E13*10^6</f>
        <v>0.37326409344422057</v>
      </c>
      <c r="X13" s="28">
        <f>(688.52063-E13)/E13*10^6</f>
        <v>0.11183398911980973</v>
      </c>
      <c r="Y13" s="28" t="s">
        <v>3</v>
      </c>
      <c r="Z13" s="26">
        <f>(688.52118-E13)/688.52118*10^6</f>
        <v>0.91064736746165598</v>
      </c>
      <c r="AA13" s="18" t="s">
        <v>3</v>
      </c>
      <c r="AB13" s="18" t="s">
        <v>3</v>
      </c>
      <c r="AC13" s="27">
        <f>(688.52002-E13)/688.52002*10^6</f>
        <v>-0.77412418582230846</v>
      </c>
      <c r="AD13" s="19" t="s">
        <v>3</v>
      </c>
      <c r="AE13" s="21">
        <f>(688.52126-E13)/E13*10^6</f>
        <v>1.0268393542552479</v>
      </c>
      <c r="AF13" s="21" t="s">
        <v>3</v>
      </c>
      <c r="AG13" s="21">
        <f>(688.52053-E13)/688.52053*10^6</f>
        <v>-3.3404958806283643E-2</v>
      </c>
      <c r="AH13" s="21">
        <f>(688.52064-E13)/E13*10^6</f>
        <v>0.12635788376780641</v>
      </c>
      <c r="AI13" s="22">
        <v>2.08</v>
      </c>
      <c r="AJ13" s="22">
        <v>-0.42</v>
      </c>
      <c r="AK13" s="22">
        <v>0.09</v>
      </c>
      <c r="AL13" s="22">
        <v>-0.95</v>
      </c>
      <c r="AM13" s="22">
        <v>-2.21</v>
      </c>
      <c r="AN13" s="65" t="s">
        <v>3</v>
      </c>
      <c r="AO13" s="65" t="s">
        <v>3</v>
      </c>
      <c r="AP13" s="65" t="s">
        <v>3</v>
      </c>
      <c r="AQ13" s="65" t="s">
        <v>3</v>
      </c>
      <c r="AR13" s="65" t="s">
        <v>3</v>
      </c>
      <c r="AS13" s="46">
        <f>(688.52191-688.5206)/688.5206*10^6</f>
        <v>1.9026300739631801</v>
      </c>
      <c r="AT13" s="46">
        <f>(688.51593-688.5206)/688.51593*10^6</f>
        <v>-6.782704359388064</v>
      </c>
      <c r="AU13" s="46">
        <f>(688.5235-688.5206)/688.5206*10^6</f>
        <v>4.211929171135691</v>
      </c>
      <c r="AV13" s="46">
        <f>(688.51721-688.5206)/688.51721*10^6</f>
        <v>-4.9236242039143585</v>
      </c>
      <c r="AW13" s="53" t="s">
        <v>3</v>
      </c>
      <c r="AX13" s="53" t="s">
        <v>3</v>
      </c>
      <c r="AY13" s="57" t="s">
        <v>3</v>
      </c>
      <c r="AZ13" s="57" t="s">
        <v>3</v>
      </c>
      <c r="BA13" s="121" t="s">
        <v>3</v>
      </c>
    </row>
    <row r="14" spans="1:53" x14ac:dyDescent="0.25">
      <c r="A14" s="38">
        <v>11</v>
      </c>
      <c r="B14" s="139" t="s">
        <v>66</v>
      </c>
      <c r="C14" s="38" t="s">
        <v>138</v>
      </c>
      <c r="D14" s="38" t="s">
        <v>154</v>
      </c>
      <c r="E14" s="48">
        <v>732.54676800000004</v>
      </c>
      <c r="F14" s="23">
        <f>(732.54901-E14)/E14*10^6</f>
        <v>3.0605554455332049</v>
      </c>
      <c r="G14" s="23">
        <f>(732.54883-E14)/MIN(732.54883,E14)*10^6</f>
        <v>2.8148373455247544</v>
      </c>
      <c r="H14" s="23" t="s">
        <v>3</v>
      </c>
      <c r="I14" s="25" t="s">
        <v>3</v>
      </c>
      <c r="J14" s="24" t="s">
        <v>3</v>
      </c>
      <c r="K14" s="117" t="s">
        <v>3</v>
      </c>
      <c r="L14" s="16">
        <f>(732.54529-E14)/732.54529*10^6</f>
        <v>-2.0176226919977527</v>
      </c>
      <c r="M14" s="15">
        <f>(732.5462-732.54677)/732.5462*10^6</f>
        <v>-0.77810792007223195</v>
      </c>
      <c r="N14" s="15">
        <f>(732.54382-732.54677)/732.54382*10^6</f>
        <v>-4.0270628452715602</v>
      </c>
      <c r="O14" s="15">
        <f>(732.5462-732.54677)/732.5462*10^6</f>
        <v>-0.77810792007223195</v>
      </c>
      <c r="P14" s="15">
        <f>(732.54633-E14)/732.54633*10^6</f>
        <v>-0.59791440089669778</v>
      </c>
      <c r="Q14" s="15">
        <f>(732.54657-E14)/732.54657*10^6</f>
        <v>-0.27028998315906694</v>
      </c>
      <c r="R14" s="15">
        <f>(732.54633-E14)/732.54633*10^6</f>
        <v>-0.59791440089669778</v>
      </c>
      <c r="S14" s="15">
        <f>(732.54437-E14)/732.54437*10^6</f>
        <v>-3.2735218483553719</v>
      </c>
      <c r="T14" s="15">
        <f>(732.54608-E14)/732.54608*10^6</f>
        <v>-0.93919006444203001</v>
      </c>
      <c r="U14" s="15" t="s">
        <v>3</v>
      </c>
      <c r="V14" s="15">
        <f>(732.5459-E14)/732.5459*10^6</f>
        <v>-1.1849086863802629</v>
      </c>
      <c r="W14" s="28">
        <f>(732.54712-E14)/E14*10^6</f>
        <v>0.48051539544447669</v>
      </c>
      <c r="X14" s="28">
        <f>(732.54688-E14)/E14*10^6</f>
        <v>0.15289126215160759</v>
      </c>
      <c r="Y14" s="28" t="s">
        <v>3</v>
      </c>
      <c r="Z14" s="26">
        <f>(732.54749-E14)/732.54749*10^6</f>
        <v>0.98560162972657872</v>
      </c>
      <c r="AA14" s="18" t="s">
        <v>3</v>
      </c>
      <c r="AB14" s="18" t="s">
        <v>3</v>
      </c>
      <c r="AC14" s="27">
        <f>(732.5462-E14)/732.5462*10^6</f>
        <v>-0.77537771685098744</v>
      </c>
      <c r="AD14" s="19" t="s">
        <v>3</v>
      </c>
      <c r="AE14" s="21">
        <f>(732.54776-E14)/E14*10^6</f>
        <v>1.354179751150784</v>
      </c>
      <c r="AF14" s="21" t="s">
        <v>3</v>
      </c>
      <c r="AG14" s="21">
        <f>(732.54559-E14)/732.54559*10^6</f>
        <v>-1.6080910405799871</v>
      </c>
      <c r="AH14" s="21">
        <f>(732.54604-E14)/732.54604*10^6</f>
        <v>-0.99379419223213994</v>
      </c>
      <c r="AI14" s="22">
        <v>-1.46</v>
      </c>
      <c r="AJ14" s="22" t="s">
        <v>3</v>
      </c>
      <c r="AK14" s="22">
        <v>0.35</v>
      </c>
      <c r="AL14" s="22">
        <v>-3.17</v>
      </c>
      <c r="AM14" s="22">
        <v>-0.89</v>
      </c>
      <c r="AN14" s="65" t="s">
        <v>3</v>
      </c>
      <c r="AO14" s="65" t="s">
        <v>3</v>
      </c>
      <c r="AP14" s="65" t="s">
        <v>3</v>
      </c>
      <c r="AQ14" s="65" t="s">
        <v>3</v>
      </c>
      <c r="AR14" s="65" t="s">
        <v>3</v>
      </c>
      <c r="AS14" s="46">
        <f>(732.54858-732.5468)/732.5468*10^6</f>
        <v>2.4298788828964999</v>
      </c>
      <c r="AT14" s="46">
        <f>(732.54688-732.5468)/732.5468*10^6</f>
        <v>0.10920803971212911</v>
      </c>
      <c r="AU14" s="46">
        <f>(732.54541-732.5468)/732.54541*10^6</f>
        <v>-1.897493289890219</v>
      </c>
      <c r="AV14" s="46">
        <f>(732.5462-732.5468)/732.5462*10^6</f>
        <v>-0.81906096839090081</v>
      </c>
      <c r="AW14" s="53" t="s">
        <v>3</v>
      </c>
      <c r="AX14" s="53" t="s">
        <v>3</v>
      </c>
      <c r="AY14" s="57" t="s">
        <v>3</v>
      </c>
      <c r="AZ14" s="57" t="s">
        <v>3</v>
      </c>
      <c r="BA14" s="121" t="s">
        <v>3</v>
      </c>
    </row>
    <row r="15" spans="1:53" x14ac:dyDescent="0.25">
      <c r="A15" s="38">
        <v>12</v>
      </c>
      <c r="B15" s="139" t="s">
        <v>67</v>
      </c>
      <c r="C15" s="38" t="s">
        <v>138</v>
      </c>
      <c r="D15" s="38" t="s">
        <v>155</v>
      </c>
      <c r="E15" s="48">
        <v>776.57298300000002</v>
      </c>
      <c r="F15" s="23" t="s">
        <v>3</v>
      </c>
      <c r="G15" s="23">
        <f>(776.5694-E15)/MIN(776.5694,E15)*10^6</f>
        <v>-4.6138825455248966</v>
      </c>
      <c r="H15" s="23" t="s">
        <v>3</v>
      </c>
      <c r="I15" s="25" t="s">
        <v>3</v>
      </c>
      <c r="J15" s="24" t="s">
        <v>3</v>
      </c>
      <c r="K15" s="117" t="s">
        <v>3</v>
      </c>
      <c r="L15" s="16">
        <f>(776.57202-E15)/776.57202*10^6</f>
        <v>-1.2400652808348274</v>
      </c>
      <c r="M15" s="15">
        <f>(776.57239-776.57298)/776.57239*10^6</f>
        <v>-0.75974887542463632</v>
      </c>
      <c r="N15" s="16">
        <f>(776.57068-776.57298)/776.57068*10^6</f>
        <v>-2.9617394259477923</v>
      </c>
      <c r="O15" s="15">
        <f>(776.57111-776.57298)/776.57111*10^6</f>
        <v>-2.4080215912919436</v>
      </c>
      <c r="P15" s="15">
        <f>(776.57178-E15)/776.57178*10^6</f>
        <v>-1.5491162967990695</v>
      </c>
      <c r="Q15" s="15">
        <f>(776.57239-E15)/776.57239*10^6</f>
        <v>-0.76361200528999984</v>
      </c>
      <c r="R15" s="16">
        <f>(776.5719-E15)/776.5719*10^6</f>
        <v>-1.394590764865651</v>
      </c>
      <c r="S15" s="16">
        <f>(776.57019-E15)/776.57019*10^6</f>
        <v>-3.5965841027157337</v>
      </c>
      <c r="T15" s="15">
        <f>(776.57208-E15)/776.57208*10^6</f>
        <v>-1.1628025565815874</v>
      </c>
      <c r="U15" s="15" t="s">
        <v>3</v>
      </c>
      <c r="V15" s="16">
        <f>(776.57141-E15)/776.57141*10^6</f>
        <v>-2.0255703207095865</v>
      </c>
      <c r="W15" s="28">
        <f>(776.5733-E15)/E15*10^6</f>
        <v>0.40820374508890145</v>
      </c>
      <c r="X15" s="28">
        <f>(776.57288-E15)/776.57288*10^6</f>
        <v>-0.13263404198112566</v>
      </c>
      <c r="Y15" s="28" t="s">
        <v>3</v>
      </c>
      <c r="Z15" s="26">
        <f>(776.57483-E15)/776.57483*10^6</f>
        <v>2.378392820171539</v>
      </c>
      <c r="AA15" s="18" t="s">
        <v>3</v>
      </c>
      <c r="AB15" s="18" t="s">
        <v>3</v>
      </c>
      <c r="AC15" s="27">
        <f>(776.57233-E15)/776.57233*10^6</f>
        <v>-0.84087466785822262</v>
      </c>
      <c r="AD15" s="19" t="s">
        <v>3</v>
      </c>
      <c r="AE15" s="21">
        <f>(776.57438-E15)/E15*10^6</f>
        <v>1.79892943815843</v>
      </c>
      <c r="AF15" s="21" t="s">
        <v>3</v>
      </c>
      <c r="AG15" s="21">
        <f>(776.5702-E15)/776.5702*10^6</f>
        <v>-3.5837069205362044</v>
      </c>
      <c r="AH15" s="21">
        <f>(776.57211-E15)/776.57211*10^6</f>
        <v>-1.1241711990785037</v>
      </c>
      <c r="AI15" s="22">
        <v>-0.72</v>
      </c>
      <c r="AJ15" s="22" t="s">
        <v>3</v>
      </c>
      <c r="AK15" s="22">
        <v>-1.23</v>
      </c>
      <c r="AL15" s="22">
        <v>-0.65</v>
      </c>
      <c r="AM15" s="22">
        <v>-1.1000000000000001</v>
      </c>
      <c r="AN15" s="65" t="s">
        <v>3</v>
      </c>
      <c r="AO15" s="65" t="s">
        <v>3</v>
      </c>
      <c r="AP15" s="65" t="s">
        <v>3</v>
      </c>
      <c r="AQ15" s="65" t="s">
        <v>3</v>
      </c>
      <c r="AR15" s="65" t="s">
        <v>3</v>
      </c>
      <c r="AS15" s="46" t="s">
        <v>3</v>
      </c>
      <c r="AT15" s="46">
        <f>(776.57092-776.573)/776.57092*10^6</f>
        <v>-2.6784417834987941</v>
      </c>
      <c r="AU15" s="46">
        <f>(776.5752-776.573)/776.573*10^6</f>
        <v>2.8329596831414294</v>
      </c>
      <c r="AV15" s="46">
        <f>(776.57501-776.573)/776.573*10^6</f>
        <v>2.5882949832676974</v>
      </c>
      <c r="AW15" s="53" t="s">
        <v>3</v>
      </c>
      <c r="AX15" s="53" t="s">
        <v>3</v>
      </c>
      <c r="AY15" s="57" t="s">
        <v>3</v>
      </c>
      <c r="AZ15" s="57" t="s">
        <v>3</v>
      </c>
      <c r="BA15" s="121" t="s">
        <v>3</v>
      </c>
    </row>
    <row r="16" spans="1:53" x14ac:dyDescent="0.25">
      <c r="A16" s="38">
        <v>13</v>
      </c>
      <c r="B16" s="139" t="s">
        <v>68</v>
      </c>
      <c r="C16" s="38" t="s">
        <v>138</v>
      </c>
      <c r="D16" s="38" t="s">
        <v>156</v>
      </c>
      <c r="E16" s="48">
        <v>820.599197</v>
      </c>
      <c r="F16" s="23" t="s">
        <v>3</v>
      </c>
      <c r="G16" s="23" t="s">
        <v>3</v>
      </c>
      <c r="H16" s="23" t="s">
        <v>3</v>
      </c>
      <c r="I16" s="25" t="s">
        <v>3</v>
      </c>
      <c r="J16" s="24" t="s">
        <v>3</v>
      </c>
      <c r="K16" s="117" t="s">
        <v>3</v>
      </c>
      <c r="L16" s="16">
        <f>(820.59772-E16)/820.59772*10^6</f>
        <v>-1.7999075113474592</v>
      </c>
      <c r="M16" s="16">
        <f>(820.59778-820.5992)/820.59778*10^6</f>
        <v>-1.7304458221332546</v>
      </c>
      <c r="N16" s="16">
        <f>(820.59692-820.5992)/820.59692*10^6</f>
        <v>-2.7784652177850999</v>
      </c>
      <c r="O16" s="16">
        <f>(820.59979-820.5992)/820.59979*10^6</f>
        <v>0.71898629170782768</v>
      </c>
      <c r="P16" s="15">
        <f>(820.59723-E16)/820.59723*10^6</f>
        <v>-2.3970346573507486</v>
      </c>
      <c r="Q16" s="16">
        <f>(820.59967-E16)/E16*10^6</f>
        <v>0.57640807067796607</v>
      </c>
      <c r="R16" s="16">
        <f>(820.59888-E16)/820.59888*10^6</f>
        <v>-0.3863032325799175</v>
      </c>
      <c r="S16" s="15" t="s">
        <v>3</v>
      </c>
      <c r="T16" s="15">
        <f>(820.59857-E16)/820.59857*10^6</f>
        <v>-0.76407639853502662</v>
      </c>
      <c r="U16" s="15" t="s">
        <v>3</v>
      </c>
      <c r="V16" s="16">
        <f>(820.59918-E16)/820.59918*10^6</f>
        <v>-2.0716569515800792E-2</v>
      </c>
      <c r="W16" s="28">
        <f>(820.59912-E16)/820.59912*10^6</f>
        <v>-9.3833880827178279E-2</v>
      </c>
      <c r="X16" s="28">
        <f>(820.59949-E16)/E16*10^6</f>
        <v>0.35705616214777641</v>
      </c>
      <c r="Y16" s="28" t="s">
        <v>3</v>
      </c>
      <c r="Z16" s="26">
        <f>(820.60083-E16)/820.60083*10^6</f>
        <v>1.9900052988854493</v>
      </c>
      <c r="AA16" s="18" t="s">
        <v>3</v>
      </c>
      <c r="AB16" s="18" t="s">
        <v>3</v>
      </c>
      <c r="AC16" s="27">
        <f>(820.59839-E16)/820.59839*10^6</f>
        <v>-0.9834286903839573</v>
      </c>
      <c r="AD16" s="19" t="s">
        <v>3</v>
      </c>
      <c r="AE16" s="21">
        <f>(820.60047-E16)/E16*10^6</f>
        <v>1.5513054419540402</v>
      </c>
      <c r="AF16" s="21" t="s">
        <v>3</v>
      </c>
      <c r="AG16" s="21" t="s">
        <v>3</v>
      </c>
      <c r="AH16" s="21">
        <f>(820.59605-E16)/820.59605*10^6</f>
        <v>-3.8350172414462236</v>
      </c>
      <c r="AI16" s="22">
        <v>0.18</v>
      </c>
      <c r="AJ16" s="22" t="s">
        <v>3</v>
      </c>
      <c r="AK16" s="22">
        <v>-0.56000000000000005</v>
      </c>
      <c r="AL16" s="22">
        <v>2.68</v>
      </c>
      <c r="AM16" s="22">
        <v>-4.6399999999999997</v>
      </c>
      <c r="AN16" s="65" t="s">
        <v>3</v>
      </c>
      <c r="AO16" s="65" t="s">
        <v>3</v>
      </c>
      <c r="AP16" s="65" t="s">
        <v>3</v>
      </c>
      <c r="AQ16" s="65" t="s">
        <v>3</v>
      </c>
      <c r="AR16" s="65" t="s">
        <v>3</v>
      </c>
      <c r="AS16" s="46" t="s">
        <v>3</v>
      </c>
      <c r="AT16" s="46">
        <f>(820.59802-820.5992)/820.59802*10^6</f>
        <v>-1.4379756850700716</v>
      </c>
      <c r="AU16" s="46">
        <f>(820.60132-820.5992)/820.5992*10^6</f>
        <v>2.5834780243397701</v>
      </c>
      <c r="AV16" s="46">
        <f>(820.60132-820.5992)/820.5992*10^6</f>
        <v>2.5834780243397701</v>
      </c>
      <c r="AW16" s="53" t="s">
        <v>3</v>
      </c>
      <c r="AX16" s="53" t="s">
        <v>3</v>
      </c>
      <c r="AY16" s="57" t="s">
        <v>3</v>
      </c>
      <c r="AZ16" s="57" t="s">
        <v>3</v>
      </c>
      <c r="BA16" s="121" t="s">
        <v>3</v>
      </c>
    </row>
    <row r="17" spans="1:53" x14ac:dyDescent="0.25">
      <c r="A17" s="38">
        <v>14</v>
      </c>
      <c r="B17" s="139" t="s">
        <v>69</v>
      </c>
      <c r="C17" s="38" t="s">
        <v>138</v>
      </c>
      <c r="D17" s="38" t="s">
        <v>157</v>
      </c>
      <c r="E17" s="48">
        <v>864.62541199999998</v>
      </c>
      <c r="F17" s="23" t="s">
        <v>3</v>
      </c>
      <c r="G17" s="23" t="s">
        <v>3</v>
      </c>
      <c r="H17" s="23" t="s">
        <v>3</v>
      </c>
      <c r="I17" s="25" t="s">
        <v>3</v>
      </c>
      <c r="J17" s="24" t="s">
        <v>3</v>
      </c>
      <c r="K17" s="117" t="s">
        <v>3</v>
      </c>
      <c r="L17" s="16">
        <f>(864.62628-E17)/E17*10^6</f>
        <v>1.0039029479375983</v>
      </c>
      <c r="M17" s="16">
        <f>(864.62433-864.62541)/864.62433*10^6</f>
        <v>-1.2490973970183632</v>
      </c>
      <c r="N17" s="16">
        <f>(864.62292-864.62541)/864.62292*10^6</f>
        <v>-2.8798681394730208</v>
      </c>
      <c r="O17" s="16">
        <f>(864.62238-864.62541)/864.62238*10^6</f>
        <v>-3.504420045161222</v>
      </c>
      <c r="P17" s="15">
        <f>(864.62341-E17)/864.62341*10^6</f>
        <v>-2.3154589348299703</v>
      </c>
      <c r="Q17" s="16">
        <f>(864.62708-E17)/E17*10^6</f>
        <v>1.9291591212162034</v>
      </c>
      <c r="R17" s="16">
        <f>(864.62482-E17)/864.62482*10^6</f>
        <v>-0.68469003698421771</v>
      </c>
      <c r="S17" s="15" t="s">
        <v>3</v>
      </c>
      <c r="T17" s="16">
        <f>(864.62433-E17)/864.62433*10^6</f>
        <v>-1.2514105403403313</v>
      </c>
      <c r="U17" s="15" t="s">
        <v>3</v>
      </c>
      <c r="V17" s="16">
        <f>(864.62372-E17)/864.62372*10^6</f>
        <v>-1.9569206358744398</v>
      </c>
      <c r="W17" s="28">
        <f>(864.62567-E17)/E17*10^6</f>
        <v>0.29839511590799001</v>
      </c>
      <c r="X17" s="28">
        <f>(864.62598-E17)/E17*10^6</f>
        <v>0.65693188305673667</v>
      </c>
      <c r="Y17" s="28" t="s">
        <v>3</v>
      </c>
      <c r="Z17" s="26">
        <f>(864.62598-E17)/864.62598*10^6</f>
        <v>0.65693145149752119</v>
      </c>
      <c r="AA17" s="18" t="s">
        <v>3</v>
      </c>
      <c r="AB17" s="18" t="s">
        <v>3</v>
      </c>
      <c r="AC17" s="27">
        <f>(864.62408-E17)/864.62408*10^6</f>
        <v>-1.5405539016840029</v>
      </c>
      <c r="AD17" s="19" t="s">
        <v>3</v>
      </c>
      <c r="AE17" s="21">
        <f>(864.62601-E17)/E17*10^6</f>
        <v>0.69162898946593077</v>
      </c>
      <c r="AF17" s="21" t="s">
        <v>3</v>
      </c>
      <c r="AG17" s="21" t="s">
        <v>3</v>
      </c>
      <c r="AH17" s="21">
        <f>(864.62152-E17)/864.62152*10^6</f>
        <v>-4.5013915452286133</v>
      </c>
      <c r="AI17" s="22" t="s">
        <v>3</v>
      </c>
      <c r="AJ17" s="22" t="s">
        <v>3</v>
      </c>
      <c r="AK17" s="22">
        <v>-0.19</v>
      </c>
      <c r="AL17" s="22" t="s">
        <v>3</v>
      </c>
      <c r="AM17" s="22">
        <v>-2.63</v>
      </c>
      <c r="AN17" s="65" t="s">
        <v>3</v>
      </c>
      <c r="AO17" s="65" t="s">
        <v>3</v>
      </c>
      <c r="AP17" s="65" t="s">
        <v>3</v>
      </c>
      <c r="AQ17" s="65" t="s">
        <v>3</v>
      </c>
      <c r="AR17" s="65" t="s">
        <v>3</v>
      </c>
      <c r="AS17" s="46" t="s">
        <v>3</v>
      </c>
      <c r="AT17" s="46">
        <f>(864.6236-864.6254)/864.6236*10^6</f>
        <v>-2.0818307527147195</v>
      </c>
      <c r="AU17" s="46" t="s">
        <v>3</v>
      </c>
      <c r="AV17" s="46" t="s">
        <v>3</v>
      </c>
      <c r="AW17" s="53" t="s">
        <v>3</v>
      </c>
      <c r="AX17" s="53" t="s">
        <v>3</v>
      </c>
      <c r="AY17" s="57" t="s">
        <v>3</v>
      </c>
      <c r="AZ17" s="57" t="s">
        <v>3</v>
      </c>
      <c r="BA17" s="121" t="s">
        <v>3</v>
      </c>
    </row>
    <row r="18" spans="1:53" x14ac:dyDescent="0.25">
      <c r="A18" s="38">
        <v>15</v>
      </c>
      <c r="B18" s="139" t="s">
        <v>70</v>
      </c>
      <c r="C18" s="38" t="s">
        <v>138</v>
      </c>
      <c r="D18" s="38" t="s">
        <v>158</v>
      </c>
      <c r="E18" s="48">
        <v>908.65162699999996</v>
      </c>
      <c r="F18" s="23" t="s">
        <v>3</v>
      </c>
      <c r="G18" s="23" t="s">
        <v>3</v>
      </c>
      <c r="H18" s="23" t="s">
        <v>3</v>
      </c>
      <c r="I18" s="25" t="s">
        <v>3</v>
      </c>
      <c r="J18" s="24" t="s">
        <v>3</v>
      </c>
      <c r="K18" s="117" t="s">
        <v>3</v>
      </c>
      <c r="L18" s="16" t="s">
        <v>3</v>
      </c>
      <c r="M18" s="16">
        <f>(908.65222-908.65163)/E18*10^6</f>
        <v>0.64931375520665735</v>
      </c>
      <c r="N18" s="16" t="s">
        <v>3</v>
      </c>
      <c r="O18" s="16" t="s">
        <v>3</v>
      </c>
      <c r="P18" s="16" t="s">
        <v>3</v>
      </c>
      <c r="Q18" s="16" t="s">
        <v>3</v>
      </c>
      <c r="R18" s="16">
        <f>(908.65222-E18)/E18*10^6</f>
        <v>0.65261535056320841</v>
      </c>
      <c r="S18" s="15" t="s">
        <v>3</v>
      </c>
      <c r="T18" s="16">
        <f>(908.65057-E18)/908.65057*10^6</f>
        <v>-1.163263453349431</v>
      </c>
      <c r="U18" s="15" t="s">
        <v>3</v>
      </c>
      <c r="V18" s="15" t="s">
        <v>3</v>
      </c>
      <c r="W18" s="20">
        <f>(908.65033-E18)/908.65033*10^6</f>
        <v>-1.4273917667631519</v>
      </c>
      <c r="X18" s="20">
        <f>(908.65253-E18)/E18*10^6</f>
        <v>0.99378020482417628</v>
      </c>
      <c r="Y18" s="28" t="s">
        <v>3</v>
      </c>
      <c r="Z18" s="17">
        <f>(908.65228-E18)/908.65228*10^6</f>
        <v>0.71864674136583473</v>
      </c>
      <c r="AA18" s="18" t="s">
        <v>3</v>
      </c>
      <c r="AB18" s="18" t="s">
        <v>3</v>
      </c>
      <c r="AC18" s="19">
        <f>(908.6507-E18)/908.6507*10^6</f>
        <v>-1.0201940084713375</v>
      </c>
      <c r="AD18" s="19" t="s">
        <v>3</v>
      </c>
      <c r="AE18" s="21">
        <f>(908.6516-E18)/908.6516*10^6</f>
        <v>-2.971435909190228E-2</v>
      </c>
      <c r="AF18" s="21" t="s">
        <v>3</v>
      </c>
      <c r="AG18" s="21" t="s">
        <v>3</v>
      </c>
      <c r="AH18" s="21">
        <f>(908.6469-E18)/908.6469*10^6</f>
        <v>-5.2022408264448936</v>
      </c>
      <c r="AI18" s="22" t="s">
        <v>3</v>
      </c>
      <c r="AJ18" s="22" t="s">
        <v>3</v>
      </c>
      <c r="AK18" s="22" t="s">
        <v>3</v>
      </c>
      <c r="AL18" s="22" t="s">
        <v>3</v>
      </c>
      <c r="AM18" s="22" t="s">
        <v>3</v>
      </c>
      <c r="AN18" s="65" t="s">
        <v>3</v>
      </c>
      <c r="AO18" s="65" t="s">
        <v>3</v>
      </c>
      <c r="AP18" s="65" t="s">
        <v>3</v>
      </c>
      <c r="AQ18" s="65" t="s">
        <v>3</v>
      </c>
      <c r="AR18" s="65" t="s">
        <v>3</v>
      </c>
      <c r="AS18" s="46" t="s">
        <v>3</v>
      </c>
      <c r="AT18" s="46" t="s">
        <v>3</v>
      </c>
      <c r="AU18" s="46" t="s">
        <v>3</v>
      </c>
      <c r="AV18" s="46" t="s">
        <v>3</v>
      </c>
      <c r="AW18" s="53" t="s">
        <v>3</v>
      </c>
      <c r="AX18" s="53" t="s">
        <v>3</v>
      </c>
      <c r="AY18" s="57" t="s">
        <v>3</v>
      </c>
      <c r="AZ18" s="57" t="s">
        <v>3</v>
      </c>
      <c r="BA18" s="121" t="s">
        <v>3</v>
      </c>
    </row>
    <row r="19" spans="1:53" x14ac:dyDescent="0.25">
      <c r="A19" s="38">
        <v>16</v>
      </c>
      <c r="B19" s="139" t="s">
        <v>71</v>
      </c>
      <c r="C19" s="38" t="s">
        <v>138</v>
      </c>
      <c r="D19" s="38" t="s">
        <v>159</v>
      </c>
      <c r="E19" s="48">
        <v>952.67784200000006</v>
      </c>
      <c r="F19" s="23" t="s">
        <v>3</v>
      </c>
      <c r="G19" s="23" t="s">
        <v>3</v>
      </c>
      <c r="H19" s="23" t="s">
        <v>3</v>
      </c>
      <c r="I19" s="25" t="s">
        <v>3</v>
      </c>
      <c r="J19" s="24" t="s">
        <v>3</v>
      </c>
      <c r="K19" s="117" t="s">
        <v>3</v>
      </c>
      <c r="L19" s="16" t="s">
        <v>3</v>
      </c>
      <c r="M19" s="16">
        <f>(952.67853-952.67784)/E19*10^6</f>
        <v>0.7242742191089051</v>
      </c>
      <c r="N19" s="16" t="s">
        <v>3</v>
      </c>
      <c r="O19" s="16" t="s">
        <v>3</v>
      </c>
      <c r="P19" s="16" t="s">
        <v>3</v>
      </c>
      <c r="Q19" s="16" t="s">
        <v>3</v>
      </c>
      <c r="R19" s="16">
        <f>(952.67743-E19)/952.67743*10^6</f>
        <v>-0.4324653729821944</v>
      </c>
      <c r="S19" s="15" t="s">
        <v>3</v>
      </c>
      <c r="T19" s="16">
        <f>(952.67639-E19)/952.67639*10^6</f>
        <v>-1.5241272013529361</v>
      </c>
      <c r="U19" s="15" t="s">
        <v>3</v>
      </c>
      <c r="V19" s="15" t="s">
        <v>3</v>
      </c>
      <c r="W19" s="20">
        <f>(952.6781-E19)/E19*10^6</f>
        <v>0.27081557746259283</v>
      </c>
      <c r="X19" s="20">
        <f>(952.67719-E19)/952.67719*10^6</f>
        <v>-0.68438712179007966</v>
      </c>
      <c r="Y19" s="28" t="s">
        <v>3</v>
      </c>
      <c r="Z19" s="17">
        <f>(952.68079-E19)/952.68079*10^6</f>
        <v>3.0944257834218112</v>
      </c>
      <c r="AA19" s="18" t="s">
        <v>3</v>
      </c>
      <c r="AB19" s="18" t="s">
        <v>3</v>
      </c>
      <c r="AC19" s="19">
        <f>(952.67627-E19)/952.67627*10^6</f>
        <v>-1.6500883348444491</v>
      </c>
      <c r="AD19" s="19" t="s">
        <v>3</v>
      </c>
      <c r="AE19" s="21">
        <f>(952.67785-E19)/E19*10^6</f>
        <v>8.3973822284007116E-3</v>
      </c>
      <c r="AF19" s="21" t="s">
        <v>3</v>
      </c>
      <c r="AG19" s="21" t="s">
        <v>3</v>
      </c>
      <c r="AH19" s="21" t="s">
        <v>3</v>
      </c>
      <c r="AI19" s="22" t="s">
        <v>3</v>
      </c>
      <c r="AJ19" s="22" t="s">
        <v>3</v>
      </c>
      <c r="AK19" s="22" t="s">
        <v>3</v>
      </c>
      <c r="AL19" s="22" t="s">
        <v>3</v>
      </c>
      <c r="AM19" s="22" t="s">
        <v>3</v>
      </c>
      <c r="AN19" s="65" t="s">
        <v>3</v>
      </c>
      <c r="AO19" s="65" t="s">
        <v>3</v>
      </c>
      <c r="AP19" s="65" t="s">
        <v>3</v>
      </c>
      <c r="AQ19" s="65" t="s">
        <v>3</v>
      </c>
      <c r="AR19" s="65" t="s">
        <v>3</v>
      </c>
      <c r="AS19" s="46" t="s">
        <v>3</v>
      </c>
      <c r="AT19" s="46" t="s">
        <v>3</v>
      </c>
      <c r="AU19" s="46" t="s">
        <v>3</v>
      </c>
      <c r="AV19" s="46" t="s">
        <v>3</v>
      </c>
      <c r="AW19" s="53" t="s">
        <v>3</v>
      </c>
      <c r="AX19" s="53" t="s">
        <v>3</v>
      </c>
      <c r="AY19" s="57" t="s">
        <v>3</v>
      </c>
      <c r="AZ19" s="57" t="s">
        <v>3</v>
      </c>
      <c r="BA19" s="121" t="s">
        <v>3</v>
      </c>
    </row>
    <row r="20" spans="1:53" x14ac:dyDescent="0.25">
      <c r="A20" s="38">
        <v>17</v>
      </c>
      <c r="B20" s="139" t="s">
        <v>72</v>
      </c>
      <c r="C20" s="38" t="s">
        <v>138</v>
      </c>
      <c r="D20" s="38" t="s">
        <v>160</v>
      </c>
      <c r="E20" s="48">
        <v>996.70405600000004</v>
      </c>
      <c r="F20" s="23" t="s">
        <v>3</v>
      </c>
      <c r="G20" s="23" t="s">
        <v>3</v>
      </c>
      <c r="H20" s="23" t="s">
        <v>3</v>
      </c>
      <c r="I20" s="25" t="s">
        <v>3</v>
      </c>
      <c r="J20" s="25" t="s">
        <v>3</v>
      </c>
      <c r="K20" s="117" t="s">
        <v>3</v>
      </c>
      <c r="L20" s="16" t="s">
        <v>3</v>
      </c>
      <c r="M20" s="16" t="s">
        <v>3</v>
      </c>
      <c r="N20" s="16" t="s">
        <v>3</v>
      </c>
      <c r="O20" s="16" t="s">
        <v>3</v>
      </c>
      <c r="P20" s="16" t="s">
        <v>3</v>
      </c>
      <c r="Q20" s="16" t="s">
        <v>3</v>
      </c>
      <c r="R20" s="15" t="s">
        <v>3</v>
      </c>
      <c r="S20" s="15" t="s">
        <v>3</v>
      </c>
      <c r="T20" s="16">
        <f>(996.70227-E20)/996.70227*10^6</f>
        <v>-1.7919092328727786</v>
      </c>
      <c r="U20" s="15" t="s">
        <v>3</v>
      </c>
      <c r="V20" s="15" t="s">
        <v>3</v>
      </c>
      <c r="W20" s="20">
        <f>(996.70319-E20)/996.70319*10^6</f>
        <v>-0.86886448119755388</v>
      </c>
      <c r="X20" s="20">
        <f>(996.70612-E20)/E20*10^6</f>
        <v>2.0708253243212398</v>
      </c>
      <c r="Y20" s="28" t="s">
        <v>3</v>
      </c>
      <c r="Z20" s="17">
        <f>(996.70502-E20)/996.70502*10^6</f>
        <v>0.9671868613178628</v>
      </c>
      <c r="AA20" s="18" t="s">
        <v>3</v>
      </c>
      <c r="AB20" s="18" t="s">
        <v>3</v>
      </c>
      <c r="AC20" s="19" t="s">
        <v>3</v>
      </c>
      <c r="AD20" s="19" t="s">
        <v>3</v>
      </c>
      <c r="AE20" s="21">
        <f>(996.70395-E20)/996.70395*10^6</f>
        <v>-0.10635053676012445</v>
      </c>
      <c r="AF20" s="21" t="s">
        <v>3</v>
      </c>
      <c r="AG20" s="21" t="s">
        <v>3</v>
      </c>
      <c r="AH20" s="21" t="s">
        <v>3</v>
      </c>
      <c r="AI20" s="22" t="s">
        <v>3</v>
      </c>
      <c r="AJ20" s="22" t="s">
        <v>3</v>
      </c>
      <c r="AK20" s="22" t="s">
        <v>3</v>
      </c>
      <c r="AL20" s="22" t="s">
        <v>3</v>
      </c>
      <c r="AM20" s="22" t="s">
        <v>3</v>
      </c>
      <c r="AN20" s="65" t="s">
        <v>3</v>
      </c>
      <c r="AO20" s="65" t="s">
        <v>3</v>
      </c>
      <c r="AP20" s="65" t="s">
        <v>3</v>
      </c>
      <c r="AQ20" s="65" t="s">
        <v>3</v>
      </c>
      <c r="AR20" s="65" t="s">
        <v>3</v>
      </c>
      <c r="AS20" s="46" t="s">
        <v>3</v>
      </c>
      <c r="AT20" s="46" t="s">
        <v>3</v>
      </c>
      <c r="AU20" s="46" t="s">
        <v>3</v>
      </c>
      <c r="AV20" s="46" t="s">
        <v>3</v>
      </c>
      <c r="AW20" s="53" t="s">
        <v>3</v>
      </c>
      <c r="AX20" s="53" t="s">
        <v>3</v>
      </c>
      <c r="AY20" s="57" t="s">
        <v>3</v>
      </c>
      <c r="AZ20" s="57" t="s">
        <v>3</v>
      </c>
      <c r="BA20" s="121" t="s">
        <v>3</v>
      </c>
    </row>
    <row r="21" spans="1:53" x14ac:dyDescent="0.25">
      <c r="A21" s="38">
        <v>18</v>
      </c>
      <c r="B21" s="139" t="s">
        <v>73</v>
      </c>
      <c r="C21" s="38" t="s">
        <v>138</v>
      </c>
      <c r="D21" s="38" t="s">
        <v>161</v>
      </c>
      <c r="E21" s="48">
        <v>195.12270000000001</v>
      </c>
      <c r="F21" s="23" t="s">
        <v>3</v>
      </c>
      <c r="G21" s="23" t="s">
        <v>3</v>
      </c>
      <c r="H21" s="23" t="s">
        <v>3</v>
      </c>
      <c r="I21" s="25" t="s">
        <v>3</v>
      </c>
      <c r="J21" s="25" t="s">
        <v>3</v>
      </c>
      <c r="K21" s="117" t="s">
        <v>3</v>
      </c>
      <c r="L21" s="15">
        <f>(195.12241-E21)/195.12241*10^6</f>
        <v>-1.4862465054976761</v>
      </c>
      <c r="M21" s="15">
        <f>(195.1226-E21)/195.1226*10^6</f>
        <v>-0.51249829596017915</v>
      </c>
      <c r="N21" s="15">
        <f>(195.1226-E21)/195.1226*10^6</f>
        <v>-0.51249829596017915</v>
      </c>
      <c r="O21" s="16">
        <f>(195.1225-E21)/195.1225*10^6</f>
        <v>-1.0249971172296342</v>
      </c>
      <c r="P21" s="15">
        <f>(195.1226-E21)/195.1226*10^6</f>
        <v>-0.51249829596017915</v>
      </c>
      <c r="Q21" s="15">
        <f>(195.1226-E21)/195.1226*10^6</f>
        <v>-0.51249829596017915</v>
      </c>
      <c r="R21" s="15">
        <f>(195.1226-E21)/195.1226*10^6</f>
        <v>-0.51249829596017915</v>
      </c>
      <c r="S21" s="15">
        <f>(195.1219-E21)/195.1219*10^6</f>
        <v>-4.1000010762407264</v>
      </c>
      <c r="T21" s="15">
        <f>(195.12241-E21)/195.12241*10^6</f>
        <v>-1.4862465054976761</v>
      </c>
      <c r="U21" s="15">
        <f>(195.12241-E21)/195.12241*10^6</f>
        <v>-1.4862465054976761</v>
      </c>
      <c r="V21" s="15">
        <f>(195.1226-E21)/195.1226*10^6</f>
        <v>-0.51249829596017915</v>
      </c>
      <c r="W21" s="28">
        <f>(195.1228-E21)/E21*10^6</f>
        <v>0.51249803330581034</v>
      </c>
      <c r="X21" s="28">
        <f>(195.1227-E21)/E21*10^6</f>
        <v>0</v>
      </c>
      <c r="Y21" s="20" t="s">
        <v>3</v>
      </c>
      <c r="Z21" s="26">
        <f>(195.12331-E21)/E21*10^6</f>
        <v>3.1262380030343491</v>
      </c>
      <c r="AA21" s="29">
        <f>(195.1227-E21)/E21*10^6</f>
        <v>0</v>
      </c>
      <c r="AB21" s="29">
        <f>(195.1226-E21)/195.1226*10^6</f>
        <v>-0.51249829596017915</v>
      </c>
      <c r="AC21" s="27">
        <f>(195.1226-E21)/195.1226*10^6</f>
        <v>-0.51249829596017915</v>
      </c>
      <c r="AD21" s="27" t="s">
        <v>3</v>
      </c>
      <c r="AE21" s="21">
        <f>(195.12279-E21)/E21*10^6</f>
        <v>0.46124822996066328</v>
      </c>
      <c r="AF21" s="21">
        <f>(195.12264-E21)/195.12264*10^6</f>
        <v>-0.30749891462643608</v>
      </c>
      <c r="AG21" s="21">
        <f>(195.12254-E21)/195.12254*10^6</f>
        <v>-0.81999752577208396</v>
      </c>
      <c r="AH21" s="21">
        <f>195.1227-E21</f>
        <v>0</v>
      </c>
      <c r="AI21" s="22">
        <v>3.28</v>
      </c>
      <c r="AJ21" s="22">
        <v>4.6399999999999997</v>
      </c>
      <c r="AK21" s="22">
        <v>-8.73</v>
      </c>
      <c r="AL21" s="22">
        <v>-6.22</v>
      </c>
      <c r="AM21" s="30" t="s">
        <v>3</v>
      </c>
      <c r="AN21" s="65" t="s">
        <v>3</v>
      </c>
      <c r="AO21" s="65" t="s">
        <v>3</v>
      </c>
      <c r="AP21" s="65" t="s">
        <v>3</v>
      </c>
      <c r="AQ21" s="65" t="s">
        <v>3</v>
      </c>
      <c r="AR21" s="65" t="s">
        <v>3</v>
      </c>
      <c r="AS21" s="46" t="s">
        <v>3</v>
      </c>
      <c r="AT21" s="46" t="s">
        <v>3</v>
      </c>
      <c r="AU21" s="46" t="s">
        <v>3</v>
      </c>
      <c r="AV21" s="46" t="s">
        <v>3</v>
      </c>
      <c r="AW21" s="53" t="s">
        <v>3</v>
      </c>
      <c r="AX21" s="53" t="s">
        <v>3</v>
      </c>
      <c r="AY21" s="57" t="s">
        <v>3</v>
      </c>
      <c r="AZ21" s="57" t="s">
        <v>3</v>
      </c>
      <c r="BA21" s="121" t="s">
        <v>3</v>
      </c>
    </row>
    <row r="22" spans="1:53" x14ac:dyDescent="0.25">
      <c r="A22" s="38">
        <v>19</v>
      </c>
      <c r="B22" s="139" t="s">
        <v>74</v>
      </c>
      <c r="C22" s="38" t="s">
        <v>138</v>
      </c>
      <c r="D22" s="38" t="s">
        <v>162</v>
      </c>
      <c r="E22" s="48">
        <v>239.14891499999999</v>
      </c>
      <c r="F22" s="23">
        <v>6.56</v>
      </c>
      <c r="G22" s="23">
        <v>6.7</v>
      </c>
      <c r="H22" s="23">
        <f>(239.1483-E22)/239.1483*10^6</f>
        <v>-2.5716260578981598</v>
      </c>
      <c r="I22" s="25" t="s">
        <v>3</v>
      </c>
      <c r="J22" s="24" t="s">
        <v>3</v>
      </c>
      <c r="K22" s="114">
        <f>(239.14799-E22)/239.14799*10^6</f>
        <v>-3.8678978652305616</v>
      </c>
      <c r="L22" s="15">
        <f>(239.1489-E22)/239.1489*10^6</f>
        <v>-6.2722429375800387E-2</v>
      </c>
      <c r="M22" s="15">
        <f>(239.149-E22)/E22*10^6</f>
        <v>0.35542707778025801</v>
      </c>
      <c r="N22" s="15">
        <f>(239.149-E22)/E22*10^6</f>
        <v>0.35542707778025801</v>
      </c>
      <c r="O22" s="16">
        <f>(239.1489-E22)/239.1489*10^6</f>
        <v>-6.2722429375800387E-2</v>
      </c>
      <c r="P22" s="15">
        <f>(239.149-E22)/E22*10^6</f>
        <v>0.35542707778025801</v>
      </c>
      <c r="Q22" s="15">
        <f>(239.1492-E22)/E22*10^6</f>
        <v>1.191726084224169</v>
      </c>
      <c r="R22" s="15">
        <f>(239.1492-E22)/E22*10^6</f>
        <v>1.191726084224169</v>
      </c>
      <c r="S22" s="15">
        <f>(239.1487-E22)/239.1487*10^6</f>
        <v>-0.89902224012587018</v>
      </c>
      <c r="T22" s="15">
        <f>(239.1487-E22)/239.1487*10^6</f>
        <v>-0.89902224012587018</v>
      </c>
      <c r="U22" s="15">
        <f>(239.1488-E22)/239.1488*10^6</f>
        <v>-0.480872159901576</v>
      </c>
      <c r="V22" s="15">
        <f>(239.14861-E22)/239.14861*10^6</f>
        <v>-1.2753576113084462</v>
      </c>
      <c r="W22" s="28">
        <f>(239.149-E22)/E22*10^6</f>
        <v>0.35542707778025801</v>
      </c>
      <c r="X22" s="28">
        <f>(239.149-E22)/E22*10^6</f>
        <v>0.35542707778025801</v>
      </c>
      <c r="Y22" s="20" t="s">
        <v>3</v>
      </c>
      <c r="Z22" s="26">
        <f>(239.1494-E22)/E22*10^6</f>
        <v>2.0280250906680801</v>
      </c>
      <c r="AA22" s="29">
        <f>(239.1489-E22)/239.1489*10^6</f>
        <v>-6.2722429375800387E-2</v>
      </c>
      <c r="AB22" s="29">
        <f>(239.1489-E22)/239.1489*10^6</f>
        <v>-6.2722429375800387E-2</v>
      </c>
      <c r="AC22" s="27">
        <f>(239.1488-E22)/239.1488*10^6</f>
        <v>-0.480872159901576</v>
      </c>
      <c r="AD22" s="27" t="s">
        <v>3</v>
      </c>
      <c r="AE22" s="21">
        <f>(239.14892-E22)/E22*10^6</f>
        <v>2.0907475226462656E-2</v>
      </c>
      <c r="AF22" s="21">
        <f>(239.14941-E22)/E22*10^6</f>
        <v>2.0698400408833146</v>
      </c>
      <c r="AG22" s="21">
        <f>(239.14895-E22)/E22*10^6</f>
        <v>0.14635232622870287</v>
      </c>
      <c r="AH22" s="21">
        <f>(239.14906-E22)/E22*10^6</f>
        <v>0.60631677966589315</v>
      </c>
      <c r="AI22" s="22">
        <v>2.87</v>
      </c>
      <c r="AJ22" s="22">
        <v>2.19</v>
      </c>
      <c r="AK22" s="22">
        <v>1.7</v>
      </c>
      <c r="AL22" s="22">
        <v>-0.18</v>
      </c>
      <c r="AM22" s="30" t="s">
        <v>3</v>
      </c>
      <c r="AN22" s="65" t="s">
        <v>3</v>
      </c>
      <c r="AO22" s="65" t="s">
        <v>3</v>
      </c>
      <c r="AP22" s="65" t="s">
        <v>3</v>
      </c>
      <c r="AQ22" s="65" t="s">
        <v>3</v>
      </c>
      <c r="AR22" s="65" t="s">
        <v>3</v>
      </c>
      <c r="AS22" s="46">
        <f>(239.149-239.14891)/239.14891*10^6</f>
        <v>0.3763345607560809</v>
      </c>
      <c r="AT22" s="46">
        <f>(239.14999-239.14891)/239.1466891*10^6</f>
        <v>4.5160566682574492</v>
      </c>
      <c r="AU22" s="46">
        <f>(239.14751-239.14891)/239.14751*10^6</f>
        <v>-5.8541274378714281</v>
      </c>
      <c r="AV22" s="46">
        <f>(239.1489-239.14891)/239.1489*10^6</f>
        <v>-4.1814952956815345E-2</v>
      </c>
      <c r="AW22" s="53">
        <f>(239.148802-E22)/239.148802*10^6</f>
        <v>-0.47250916188540859</v>
      </c>
      <c r="AX22" s="53" t="s">
        <v>3</v>
      </c>
      <c r="AY22" s="57">
        <f>(239.1488-E22)/239.1488*10^6</f>
        <v>-0.480872159901576</v>
      </c>
      <c r="AZ22" s="57">
        <f>(239.149931-E22)/239.149931*10^6</f>
        <v>4.2483809038657938</v>
      </c>
      <c r="BA22" s="121" t="s">
        <v>3</v>
      </c>
    </row>
    <row r="23" spans="1:53" x14ac:dyDescent="0.25">
      <c r="A23" s="38">
        <v>20</v>
      </c>
      <c r="B23" s="139" t="s">
        <v>75</v>
      </c>
      <c r="C23" s="38" t="s">
        <v>138</v>
      </c>
      <c r="D23" s="38" t="s">
        <v>163</v>
      </c>
      <c r="E23" s="48">
        <v>300.20167900000001</v>
      </c>
      <c r="F23" s="23">
        <v>-4.0199999999999996</v>
      </c>
      <c r="G23" s="23">
        <v>-4.0199999999999996</v>
      </c>
      <c r="H23" s="23">
        <f>(300.2017-E23)/E23*10^6</f>
        <v>6.9952973193809193E-2</v>
      </c>
      <c r="I23" s="24" t="s">
        <v>3</v>
      </c>
      <c r="J23" s="24" t="s">
        <v>3</v>
      </c>
      <c r="K23" s="114">
        <f>(300.20111-E23)/300.20111*10^6</f>
        <v>-1.8953960562787344</v>
      </c>
      <c r="L23" s="15">
        <f>(300.2012-E23)/300.2012*10^6</f>
        <v>-1.5955965533821868</v>
      </c>
      <c r="M23" s="15">
        <f>(300.20181-E23)/300.20181*10^6</f>
        <v>0.43637311850423982</v>
      </c>
      <c r="N23" s="15">
        <f>(300.20181-E23)/E23*10^6</f>
        <v>0.43637330892582149</v>
      </c>
      <c r="O23" s="16">
        <f>(300.2016-E23)/300.2016*10^6</f>
        <v>-0.26315649226359167</v>
      </c>
      <c r="P23" s="15">
        <f>(300.2017-E23)/E23*10^6</f>
        <v>6.9952973193809193E-2</v>
      </c>
      <c r="Q23" s="15">
        <f>(300.20139-E23)/300.20139*10^6</f>
        <v>-0.96268708152653659</v>
      </c>
      <c r="R23" s="15">
        <f>(300.20071-E23)/300.20071*10^6</f>
        <v>-3.2278404671254015</v>
      </c>
      <c r="S23" s="15">
        <f>(300.20181-E23)/E23*10^6</f>
        <v>0.43637330892582149</v>
      </c>
      <c r="T23" s="15">
        <f>(300.20151-E23)/300.20151*10^6</f>
        <v>-0.56295519642144165</v>
      </c>
      <c r="U23" s="15">
        <f>(300.20151-E23)/300.20151*10^6</f>
        <v>-0.56295519642144165</v>
      </c>
      <c r="V23" s="15">
        <f>(300.20111-E23)/300.20111*10^6</f>
        <v>-1.8953960562787344</v>
      </c>
      <c r="W23" s="28">
        <f>(300.20169-E23)/E23*10^6</f>
        <v>3.6642033478525841E-2</v>
      </c>
      <c r="X23" s="28">
        <f>(300.20181-E23)/E23*10^6</f>
        <v>0.43637330892582149</v>
      </c>
      <c r="Y23" s="20" t="s">
        <v>3</v>
      </c>
      <c r="Z23" s="26">
        <f>(300.20251-E23)/E23*10^6</f>
        <v>2.7681390816109763</v>
      </c>
      <c r="AA23" s="29">
        <f>(300.2016-E23)/300.2016*10^6</f>
        <v>-0.26315649226359167</v>
      </c>
      <c r="AB23" s="29">
        <f>(300.2016-E23)/300.2016*10^6</f>
        <v>-0.26315649226359167</v>
      </c>
      <c r="AC23" s="27">
        <f>(300.20151-E23)/300.20151*10^6</f>
        <v>-0.56295519642144165</v>
      </c>
      <c r="AD23" s="27" t="s">
        <v>3</v>
      </c>
      <c r="AE23" s="21">
        <f>(300.20232-E23)/E23*10^6</f>
        <v>2.1352312289141002</v>
      </c>
      <c r="AF23" s="21">
        <f>(300.20255-E23)/E23*10^6</f>
        <v>2.9013828399040578</v>
      </c>
      <c r="AG23" s="21">
        <f>(300.20253-E23)/E23*10^6</f>
        <v>2.8347609608521926</v>
      </c>
      <c r="AH23" s="21">
        <f>(300.20211-E23)/E23*10^6</f>
        <v>1.4357014971653592</v>
      </c>
      <c r="AI23" s="22">
        <v>2.34</v>
      </c>
      <c r="AJ23" s="22">
        <v>-3.6</v>
      </c>
      <c r="AK23" s="22">
        <v>1.25</v>
      </c>
      <c r="AL23" s="22">
        <v>-1.72</v>
      </c>
      <c r="AM23" s="30">
        <v>0.35</v>
      </c>
      <c r="AN23" s="65" t="s">
        <v>3</v>
      </c>
      <c r="AO23" s="65" t="s">
        <v>3</v>
      </c>
      <c r="AP23" s="65" t="s">
        <v>3</v>
      </c>
      <c r="AQ23" s="65" t="s">
        <v>3</v>
      </c>
      <c r="AR23" s="65" t="s">
        <v>3</v>
      </c>
      <c r="AS23" s="46">
        <f>(300.2034-300.20168)/300.20168*10^6</f>
        <v>5.7294815937656214</v>
      </c>
      <c r="AT23" s="46">
        <f>(300.2012-300.20168)/300.2012*10^6</f>
        <v>-1.5989276526498621</v>
      </c>
      <c r="AU23" s="46">
        <f>(300.20129-300.20168)/300.20129*10^6</f>
        <v>-1.2991283283243926</v>
      </c>
      <c r="AV23" s="46">
        <f>(300.20261-300.20168)/300.20168*10^6</f>
        <v>3.0979173733556582</v>
      </c>
      <c r="AW23" s="53">
        <f>(300.2015-E23)/300.2015*10^6</f>
        <v>-0.59626617456213837</v>
      </c>
      <c r="AX23" s="53" t="s">
        <v>3</v>
      </c>
      <c r="AY23" s="57">
        <v>0.91915880000000005</v>
      </c>
      <c r="AZ23" s="57" t="s">
        <v>3</v>
      </c>
      <c r="BA23" s="121" t="s">
        <v>3</v>
      </c>
    </row>
    <row r="24" spans="1:53" x14ac:dyDescent="0.25">
      <c r="A24" s="38">
        <v>21</v>
      </c>
      <c r="B24" s="139" t="s">
        <v>76</v>
      </c>
      <c r="C24" s="38" t="s">
        <v>138</v>
      </c>
      <c r="D24" s="38" t="s">
        <v>164</v>
      </c>
      <c r="E24" s="48">
        <v>344.22789299999999</v>
      </c>
      <c r="F24" s="23">
        <v>-2.82</v>
      </c>
      <c r="G24" s="23">
        <v>-4.3899999999999997</v>
      </c>
      <c r="H24" s="23">
        <f>(344.22879-E24)/E24*10^6</f>
        <v>2.605831829000067</v>
      </c>
      <c r="I24" s="25" t="s">
        <v>3</v>
      </c>
      <c r="J24" s="24" t="s">
        <v>3</v>
      </c>
      <c r="K24" s="114">
        <f>(344.22711-E24)/344.22711*10^6</f>
        <v>-2.2746610515732906</v>
      </c>
      <c r="L24" s="15">
        <f>(344.2279-E24)/E24*10^6</f>
        <v>2.0335365392155188E-2</v>
      </c>
      <c r="M24" s="15">
        <f>(344.228-E24)/344.228*10^6</f>
        <v>0.31084048948391202</v>
      </c>
      <c r="N24" s="15">
        <f>(344.228-E24)/E24*10^6</f>
        <v>0.31084058610575194</v>
      </c>
      <c r="O24" s="16">
        <f>(344.228-E24)/E24*10^6</f>
        <v>0.31084058610575194</v>
      </c>
      <c r="P24" s="15">
        <f>(344.228-E24)/E24*10^6</f>
        <v>0.31084058610575194</v>
      </c>
      <c r="Q24" s="15">
        <f>(344.22769-E24)/344.22769*10^6</f>
        <v>-0.58972594563518421</v>
      </c>
      <c r="R24" s="15">
        <f>(344.22809-E24)/E24*10^6</f>
        <v>0.57229528466542245</v>
      </c>
      <c r="S24" s="15">
        <f>(344.2279-E24)/E24*10^6</f>
        <v>2.0335365392155188E-2</v>
      </c>
      <c r="T24" s="15">
        <f>(344.22769-E24)/344.22769*10^6</f>
        <v>-0.58972594563518421</v>
      </c>
      <c r="U24" s="15">
        <f>(344.22791-E24)/E24*10^6</f>
        <v>4.9385887546081413E-2</v>
      </c>
      <c r="V24" s="15">
        <f>(344.22781-E24)/344.22781*10^6</f>
        <v>-0.24111939130606216</v>
      </c>
      <c r="W24" s="28">
        <f>(344.228-E24)/E24*10^6</f>
        <v>0.31084058610575194</v>
      </c>
      <c r="X24" s="28">
        <f>(344.228-E24)/E24*10^6</f>
        <v>0.31084058610575194</v>
      </c>
      <c r="Y24" s="20">
        <f>(344.228-E24)/E24*10^6</f>
        <v>0.31084058610575194</v>
      </c>
      <c r="Z24" s="26">
        <f>(344.22861-E24)/E24*10^6</f>
        <v>2.0829224318807262</v>
      </c>
      <c r="AA24" s="29">
        <f>(344.228-E24)/E24*10^6</f>
        <v>0.31084058610575194</v>
      </c>
      <c r="AB24" s="29">
        <f>(344.22791-E24)/E24*10^6</f>
        <v>4.9385887546081413E-2</v>
      </c>
      <c r="AC24" s="27">
        <f>(344.22781-E24)/344.22781*10^6</f>
        <v>-0.24111939130606216</v>
      </c>
      <c r="AD24" s="27" t="s">
        <v>3</v>
      </c>
      <c r="AE24" s="21">
        <f>(344.228752-E24)/E24*10^6</f>
        <v>2.4954398451123874</v>
      </c>
      <c r="AF24" s="21">
        <f>(344.22904-E24)/E24*10^6</f>
        <v>3.3320948805363595</v>
      </c>
      <c r="AG24" s="21">
        <f>(344.22847-E24)/E24*10^6</f>
        <v>1.6762151230468241</v>
      </c>
      <c r="AH24" s="21">
        <f>(344.22866-E24)/E24*10^6</f>
        <v>2.228175042154958</v>
      </c>
      <c r="AI24" s="22">
        <v>2.2999999999999998</v>
      </c>
      <c r="AJ24" s="22">
        <v>-0.77</v>
      </c>
      <c r="AK24" s="22">
        <v>2.93</v>
      </c>
      <c r="AL24" s="22">
        <v>0.27</v>
      </c>
      <c r="AM24" s="30">
        <v>0.15</v>
      </c>
      <c r="AN24" s="65" t="s">
        <v>3</v>
      </c>
      <c r="AO24" s="65" t="s">
        <v>3</v>
      </c>
      <c r="AP24" s="65" t="s">
        <v>3</v>
      </c>
      <c r="AQ24" s="65" t="s">
        <v>3</v>
      </c>
      <c r="AR24" s="65" t="s">
        <v>3</v>
      </c>
      <c r="AS24" s="46">
        <f>(344.23099-344.22789)/344.22789*10^6</f>
        <v>9.0056619177999906</v>
      </c>
      <c r="AT24" s="46">
        <f>(344.229-344.22789)/344.22789*10^6</f>
        <v>3.2246079769505225</v>
      </c>
      <c r="AU24" s="46">
        <f>(344.22891-344.22789)/344.22789*10^6</f>
        <v>2.9631532761122328</v>
      </c>
      <c r="AV24" s="46">
        <f>(344.22821-344.22789)/344.22789*10^6</f>
        <v>0.92961671405499857</v>
      </c>
      <c r="AW24" s="53">
        <f>(344.22746-E24)/344.22746
*10^6</f>
        <v>-1.257889187535489</v>
      </c>
      <c r="AX24" s="53" t="s">
        <v>3</v>
      </c>
      <c r="AY24" s="57">
        <f>(344.22801-E24)/344.22801*10^6</f>
        <v>0.33989099256861899</v>
      </c>
      <c r="AZ24" s="57">
        <f>(344.23029-E24)/344.23029*10^6</f>
        <v>6.9633616496398458</v>
      </c>
      <c r="BA24" s="121" t="s">
        <v>3</v>
      </c>
    </row>
    <row r="25" spans="1:53" x14ac:dyDescent="0.25">
      <c r="A25" s="38">
        <v>22</v>
      </c>
      <c r="B25" s="139" t="s">
        <v>77</v>
      </c>
      <c r="C25" s="38" t="s">
        <v>138</v>
      </c>
      <c r="D25" s="38" t="s">
        <v>165</v>
      </c>
      <c r="E25" s="48">
        <v>388.25410799999997</v>
      </c>
      <c r="F25" s="23">
        <v>0.82</v>
      </c>
      <c r="G25" s="23">
        <v>0.82</v>
      </c>
      <c r="H25" s="23">
        <f>(388.25439-E25)/E25*10^6</f>
        <v>0.72632843855700535</v>
      </c>
      <c r="I25" s="25" t="s">
        <v>3</v>
      </c>
      <c r="J25" s="24" t="s">
        <v>3</v>
      </c>
      <c r="K25" s="114">
        <f>(388.25241-E25)/388.25241*10^6</f>
        <v>-4.3734435543522281</v>
      </c>
      <c r="L25" s="15">
        <f>(388.25381-E25)/388.25381*10^6</f>
        <v>-0.76753915173836107</v>
      </c>
      <c r="M25" s="16">
        <f>(388.2543-E25)/388.2543*10^6</f>
        <v>0.4945212455517875</v>
      </c>
      <c r="N25" s="16">
        <f>(388.2543-E25)/E25*10^6</f>
        <v>0.49452149010317076</v>
      </c>
      <c r="O25" s="16">
        <f>(388.25381-E25)/388.25381*10^6</f>
        <v>-0.76753915173836107</v>
      </c>
      <c r="P25" s="15">
        <f>(388.25421-E25)/388.25421*10^6</f>
        <v>0.26271447263042386</v>
      </c>
      <c r="Q25" s="15">
        <f>(388.254-E25)/388.254*10^6</f>
        <v>-0.27816841540512105</v>
      </c>
      <c r="R25" s="15">
        <f>(388.25421-E25)/E25*10^6</f>
        <v>0.26271454164933616</v>
      </c>
      <c r="S25" s="15">
        <f>(388.25369-E25)/388.2541*10^6</f>
        <v>-1.0766145160291496</v>
      </c>
      <c r="T25" s="15">
        <f>(388.25381-E25)/388.25381*10^6</f>
        <v>-0.76753915173836107</v>
      </c>
      <c r="U25" s="15">
        <f>(388.25409-E25)/388.25409*10^6</f>
        <v>-4.6361391723019243E-2</v>
      </c>
      <c r="V25" s="15">
        <f>(388.2543-E25)/E25*10^6</f>
        <v>0.49452149010317076</v>
      </c>
      <c r="W25" s="28">
        <f>(388.2543-E25)/E25*10^6</f>
        <v>0.49452149010317076</v>
      </c>
      <c r="X25" s="28">
        <f>(388.25439-E25)/E25*10^6</f>
        <v>0.72632843855700535</v>
      </c>
      <c r="Y25" s="20">
        <f>(388.2543-E25)/E25*10^6</f>
        <v>0.49452149010317076</v>
      </c>
      <c r="Z25" s="26">
        <f>(388.2547-E25)/E25*10^6</f>
        <v>1.5247745943749706</v>
      </c>
      <c r="AA25" s="29">
        <f>(388.25421-E25)/E25*10^6</f>
        <v>0.26271454164933616</v>
      </c>
      <c r="AB25" s="29">
        <f>(388.25421-E25)/E25*10^6</f>
        <v>0.26271454164933616</v>
      </c>
      <c r="AC25" s="27">
        <f>(388.25391-E25)/388.25391*10^6</f>
        <v>-0.50997554655623534</v>
      </c>
      <c r="AD25" s="27">
        <f>(388.25391-E25)/388.25391*10^6</f>
        <v>-0.50997554655623534</v>
      </c>
      <c r="AE25" s="21">
        <f>(388.25484-E25)/E25*10^6</f>
        <v>1.8853631808261782</v>
      </c>
      <c r="AF25" s="21">
        <f>(388.25496-E25)/E25*10^6</f>
        <v>2.1944391120491553</v>
      </c>
      <c r="AG25" s="21">
        <f>(388.25461-E25)/E25*10^6</f>
        <v>1.2929676459211361</v>
      </c>
      <c r="AH25" s="21">
        <f>(388.25484-E25)/E25*10^6</f>
        <v>1.8853631808261782</v>
      </c>
      <c r="AI25" s="22">
        <v>0.48</v>
      </c>
      <c r="AJ25" s="22">
        <v>-1.79</v>
      </c>
      <c r="AK25" s="22">
        <v>2.2000000000000002</v>
      </c>
      <c r="AL25" s="22">
        <v>-0.09</v>
      </c>
      <c r="AM25" s="30">
        <v>0.5</v>
      </c>
      <c r="AN25" s="65" t="s">
        <v>3</v>
      </c>
      <c r="AO25" s="65" t="s">
        <v>3</v>
      </c>
      <c r="AP25" s="65" t="s">
        <v>3</v>
      </c>
      <c r="AQ25" s="65" t="s">
        <v>3</v>
      </c>
      <c r="AR25" s="65" t="s">
        <v>3</v>
      </c>
      <c r="AS25" s="46">
        <f>(388.254-388.25411)/388.254*10^6</f>
        <v>-0.28331968249263056</v>
      </c>
      <c r="AT25" s="46">
        <f>(388.25241-388.25411)/388.25241*10^6</f>
        <v>-4.3785948425355876</v>
      </c>
      <c r="AU25" s="46">
        <f>(388.25381-388.25411)/388.25381*10^6</f>
        <v>-0.77269042134674915</v>
      </c>
      <c r="AV25" s="46">
        <f>(388.2547-388.25411)/388.25411*10^6</f>
        <v>1.5196233208923973</v>
      </c>
      <c r="AW25" s="53">
        <f>(388.25346-E25)/388.25346*10^6</f>
        <v>-1.6690128143496081</v>
      </c>
      <c r="AX25" s="53" t="s">
        <v>3</v>
      </c>
      <c r="AY25" s="57">
        <f>(388.25399-E25)/388.25399*10^6</f>
        <v>-0.30392475808502506</v>
      </c>
      <c r="AZ25" s="57" t="s">
        <v>3</v>
      </c>
      <c r="BA25" s="121" t="s">
        <v>3</v>
      </c>
    </row>
    <row r="26" spans="1:53" x14ac:dyDescent="0.25">
      <c r="A26" s="38">
        <v>23</v>
      </c>
      <c r="B26" s="139" t="s">
        <v>78</v>
      </c>
      <c r="C26" s="38" t="s">
        <v>138</v>
      </c>
      <c r="D26" s="38" t="s">
        <v>166</v>
      </c>
      <c r="E26" s="48">
        <v>432.28032300000001</v>
      </c>
      <c r="F26" s="23">
        <v>0.24</v>
      </c>
      <c r="G26" s="23">
        <v>0.24</v>
      </c>
      <c r="H26" s="23">
        <f>(432.2804-E26)/E26*10^6</f>
        <v>0.17812515601392281</v>
      </c>
      <c r="I26" s="25" t="s">
        <v>3</v>
      </c>
      <c r="J26" s="24" t="s">
        <v>3</v>
      </c>
      <c r="K26" s="114">
        <f>(432.27969-E26)/432.27969*10^6</f>
        <v>-1.4643297259546113</v>
      </c>
      <c r="L26" s="16">
        <f>(432.2796-E26)/432.2796*10^6</f>
        <v>-1.6725286134103712</v>
      </c>
      <c r="M26" s="16">
        <f>(432.2803-E26)/E26*10^6</f>
        <v>-5.3206215446392181E-2</v>
      </c>
      <c r="N26" s="16">
        <f>(432.2803-E26)/E26*10^6</f>
        <v>-5.3206215446392181E-2</v>
      </c>
      <c r="O26" s="16">
        <f>(432.28009-E26)/432.28009*10^6</f>
        <v>-0.53900238624686403</v>
      </c>
      <c r="P26" s="16">
        <f>(432.28009-E26)/432.28009*10^6</f>
        <v>-0.53900238624686403</v>
      </c>
      <c r="Q26" s="16">
        <f>(432.2807-E26)/E26*10^6</f>
        <v>0.8721192706578611</v>
      </c>
      <c r="R26" s="16">
        <f>(432.28049-E26)/E26*10^6</f>
        <v>0.38632339038080493</v>
      </c>
      <c r="S26" s="15">
        <f>(432.28021-E26)/432.28021*10^6</f>
        <v>-0.26140451814557858</v>
      </c>
      <c r="T26" s="15">
        <f>(432.28009-E26)/432.28009*10^6</f>
        <v>-0.53900238624686403</v>
      </c>
      <c r="U26" s="15">
        <f>(432.28-E26)/432.28*10^6</f>
        <v>-0.74720088839908094</v>
      </c>
      <c r="V26" s="15">
        <f>(432.28-E26)/432.28*10^6</f>
        <v>-0.74720088839908094</v>
      </c>
      <c r="W26" s="28">
        <f>(432.2804-E26)/E26*10^6</f>
        <v>0.17812515601392281</v>
      </c>
      <c r="X26" s="28">
        <f>(432.2803-E26)/432.2803*10^6</f>
        <v>-5.3206218277293695E-2</v>
      </c>
      <c r="Y26" s="20">
        <f>(432.2804-E26)/E26*10^6</f>
        <v>0.17812515601392281</v>
      </c>
      <c r="Z26" s="26">
        <f>(432.28149-E26)/E26*10^6</f>
        <v>2.6996371056414379</v>
      </c>
      <c r="AA26" s="29">
        <f>(432.2804-E26)/E26*10^6</f>
        <v>0.17812515601392281</v>
      </c>
      <c r="AB26" s="29">
        <f>(432.2803-E26)/E26*10^6</f>
        <v>-5.3206215446392181E-2</v>
      </c>
      <c r="AC26" s="27">
        <f>(432.28009-E26)/432.28009*10^6</f>
        <v>-0.53900238624686403</v>
      </c>
      <c r="AD26" s="27">
        <f>(432.28009-E26)/432.28009*10^6</f>
        <v>-0.53900238624686403</v>
      </c>
      <c r="AE26" s="21">
        <f>(432.28154-E26)/E6*10^6</f>
        <v>3.1997934463574218</v>
      </c>
      <c r="AF26" s="21">
        <f>(432.28163-E26)/E26*10^6</f>
        <v>3.023501025738478</v>
      </c>
      <c r="AG26" s="21">
        <f>(432.28121-E26)/E26*10^6</f>
        <v>2.0519092653158624</v>
      </c>
      <c r="AH26" s="21">
        <f>(432.28118-E26)/E26*10^6</f>
        <v>1.9825098539040673</v>
      </c>
      <c r="AI26" s="22">
        <v>-0.72</v>
      </c>
      <c r="AJ26" s="22">
        <v>0.24</v>
      </c>
      <c r="AK26" s="22">
        <v>1.44</v>
      </c>
      <c r="AL26" s="22">
        <v>-0.44</v>
      </c>
      <c r="AM26" s="30">
        <v>-0.12</v>
      </c>
      <c r="AN26" s="66">
        <f>(432.280233145603-E26)/(MIN(432.280233145603,E26))*10^6</f>
        <v>-0.20786145216488255</v>
      </c>
      <c r="AO26" s="66">
        <f>(415.254094204807-415.253774)/(MIN(415.254094204807,415.253774))*10^6</f>
        <v>0.77110631388643625</v>
      </c>
      <c r="AP26" s="66" t="s">
        <v>3</v>
      </c>
      <c r="AQ26" s="66" t="s">
        <v>3</v>
      </c>
      <c r="AR26" s="66">
        <f>(415.253706504405-415.253774)/(MIN(415.253706504405,415.253774))*10^6</f>
        <v>-0.1625406202902499</v>
      </c>
      <c r="AS26" s="46">
        <f>(432.28091-432.28032)/432.28032*10^6</f>
        <v>1.3648551014034644</v>
      </c>
      <c r="AT26" s="46">
        <f>(432.27991-432.28032)/432.27991*10^6</f>
        <v>-0.94845952948605572</v>
      </c>
      <c r="AU26" s="46">
        <f>(432.28101-432.28032)/432.28032*10^6</f>
        <v>1.5961864744692056</v>
      </c>
      <c r="AV26" s="46">
        <f>(432.2796-432.28032)/432.2796*10^6</f>
        <v>-1.6655886606750911</v>
      </c>
      <c r="AW26" s="53">
        <f>(432.27964-E26)/432.27964*10^6</f>
        <v>-1.5799957639405287</v>
      </c>
      <c r="AX26" s="53" t="s">
        <v>3</v>
      </c>
      <c r="AY26" s="57">
        <f>(432.27999-E26)/432.27999*10^6</f>
        <v>-0.77033406059787102</v>
      </c>
      <c r="AZ26" s="57" t="s">
        <v>3</v>
      </c>
      <c r="BA26" s="121" t="s">
        <v>3</v>
      </c>
    </row>
    <row r="27" spans="1:53" x14ac:dyDescent="0.25">
      <c r="A27" s="38">
        <v>24</v>
      </c>
      <c r="B27" s="139" t="s">
        <v>79</v>
      </c>
      <c r="C27" s="38" t="s">
        <v>138</v>
      </c>
      <c r="D27" s="38" t="s">
        <v>167</v>
      </c>
      <c r="E27" s="48">
        <v>476.30653799999999</v>
      </c>
      <c r="F27" s="23">
        <v>-5.35</v>
      </c>
      <c r="G27" s="23">
        <v>-5.35</v>
      </c>
      <c r="H27" s="23">
        <f>(476.30789-E27)/E27*10^6</f>
        <v>2.8385081709651723</v>
      </c>
      <c r="I27" s="25" t="s">
        <v>3</v>
      </c>
      <c r="J27" s="24" t="s">
        <v>3</v>
      </c>
      <c r="K27" s="114">
        <f>(476.30499-E27)/476.30499*10^6</f>
        <v>-3.2500184388449753</v>
      </c>
      <c r="L27" s="15">
        <f>(476.30551-E27)/476.30551*10^6</f>
        <v>-2.1582786223961663</v>
      </c>
      <c r="M27" s="16">
        <f>(476.30609-E27)/476.30609*10^6</f>
        <v>-0.94057163956433376</v>
      </c>
      <c r="N27" s="16">
        <f>(476.30609-E27)/476.30609*10^6</f>
        <v>-0.94057163956433376</v>
      </c>
      <c r="O27" s="16">
        <f>(476.306-E27)/476.306*10^6</f>
        <v>-1.1295259770104147</v>
      </c>
      <c r="P27" s="15">
        <f>(476.3063-E27)/476.3063*10^6</f>
        <v>-0.49967846313924869</v>
      </c>
      <c r="Q27" s="16">
        <f>(476.30649-E27)/476.30649*10^6</f>
        <v>-0.10077544816258642</v>
      </c>
      <c r="R27" s="16">
        <f>(476.3064-E27)/476.3064*10^6</f>
        <v>-0.28972946824280338</v>
      </c>
      <c r="S27" s="16">
        <f>(476.30609-E27)/476.30609*10^6</f>
        <v>-0.94057163956433376</v>
      </c>
      <c r="T27" s="15">
        <f>(476.30621-E27)/476.30621*10^6</f>
        <v>-0.68863263396815144</v>
      </c>
      <c r="U27" s="15">
        <f>(476.30621-E27)/476.30621*10^6</f>
        <v>-0.68863263396815144</v>
      </c>
      <c r="V27" s="15">
        <f>(476.30609-E27)/476.30609*10^6</f>
        <v>-0.94057163956433376</v>
      </c>
      <c r="W27" s="28">
        <f>(476.3067-E27)/E27*10^6</f>
        <v>0.34011710330311118</v>
      </c>
      <c r="X27" s="28">
        <f>(476.30661-E27)/E27*10^6</f>
        <v>0.15116315701034475</v>
      </c>
      <c r="Y27" s="20">
        <f>(476.3067-E27)/E27*10^6</f>
        <v>0.34011710330311118</v>
      </c>
      <c r="Z27" s="26">
        <f>(476.3071-E27)/E27*10^6</f>
        <v>1.1799124201863715</v>
      </c>
      <c r="AA27" s="29">
        <f>(476.30649-E27)/476.30649*10^6</f>
        <v>-0.10077544816258642</v>
      </c>
      <c r="AB27" s="29">
        <f>(476.30649-E27)/476.30649*10^6</f>
        <v>-0.10077544816258642</v>
      </c>
      <c r="AC27" s="27">
        <f>(476.30621-E27)/476.30621*10^6</f>
        <v>-0.68863263396815144</v>
      </c>
      <c r="AD27" s="27">
        <f>(476.30649-E27)/476.30649*10^6</f>
        <v>-0.10077544816258642</v>
      </c>
      <c r="AE27" s="21">
        <f>(476.30818-E27)/E27*10^6</f>
        <v>3.4473597756995686</v>
      </c>
      <c r="AF27" s="21">
        <f>(476.308-E27)/E27*10^6</f>
        <v>3.0694518831140361</v>
      </c>
      <c r="AG27" s="21">
        <f>(476.30735-E27)/E27*10^6</f>
        <v>1.7047844932085736</v>
      </c>
      <c r="AH27" s="21">
        <f>(476.30703-E27)/E27*10^6</f>
        <v>1.0329482397497021</v>
      </c>
      <c r="AI27" s="22">
        <v>0.23</v>
      </c>
      <c r="AJ27" s="22">
        <v>-0.41</v>
      </c>
      <c r="AK27" s="22">
        <v>0.21</v>
      </c>
      <c r="AL27" s="22">
        <v>-0.19</v>
      </c>
      <c r="AM27" s="30">
        <v>0.25</v>
      </c>
      <c r="AN27" s="66">
        <f>(476.306962049886-E27)/MIN(476.306962049886,E27)*10^6</f>
        <v>0.89028777098435252</v>
      </c>
      <c r="AO27" s="66" t="s">
        <v>3</v>
      </c>
      <c r="AP27" s="66" t="s">
        <v>3</v>
      </c>
      <c r="AQ27" s="66" t="s">
        <v>3</v>
      </c>
      <c r="AR27" s="66">
        <f>(459.281262016758-459.279989)/MIN(459.281262016758,459.279989)*10^6</f>
        <v>2.7717662177037061</v>
      </c>
      <c r="AS27" s="46">
        <f>(476.30771-476.30654)/476.30654*10^6</f>
        <v>2.4564012914915927</v>
      </c>
      <c r="AT27" s="46">
        <f>(476.30429-476.30654)/476.30429*10^6</f>
        <v>-4.7238709523351936</v>
      </c>
      <c r="AU27" s="46">
        <f>(476.30429-476.30654)/476.30429*10^6</f>
        <v>-4.7238709523351936</v>
      </c>
      <c r="AV27" s="46">
        <f>(476.30719-476.30654)/476.30654*10^6</f>
        <v>1.3646673841752561</v>
      </c>
      <c r="AW27" s="53">
        <f>(476.30591-E27)/476.30591*10^6</f>
        <v>-1.3184803858639256</v>
      </c>
      <c r="AX27" s="53" t="s">
        <v>3</v>
      </c>
      <c r="AY27" s="57">
        <f>(476.30656-E27)/476.30656*10^6</f>
        <v>4.6188740296372904E-2</v>
      </c>
      <c r="AZ27" s="57" t="s">
        <v>3</v>
      </c>
      <c r="BA27" s="121" t="s">
        <v>3</v>
      </c>
    </row>
    <row r="28" spans="1:53" x14ac:dyDescent="0.25">
      <c r="A28" s="38">
        <v>25</v>
      </c>
      <c r="B28" s="139" t="s">
        <v>80</v>
      </c>
      <c r="C28" s="38" t="s">
        <v>138</v>
      </c>
      <c r="D28" s="38" t="s">
        <v>168</v>
      </c>
      <c r="E28" s="48">
        <v>520.33275200000003</v>
      </c>
      <c r="F28" s="23">
        <v>1.08</v>
      </c>
      <c r="G28" s="23">
        <v>1.08</v>
      </c>
      <c r="H28" s="23">
        <f>(520.33331-E28)/E28*10^6</f>
        <v>1.0723906919382762</v>
      </c>
      <c r="I28" s="25" t="s">
        <v>3</v>
      </c>
      <c r="J28" s="24" t="s">
        <v>3</v>
      </c>
      <c r="K28" s="114">
        <f>(520.33209-E28)/520.33209*10^6</f>
        <v>-1.2722644110493229</v>
      </c>
      <c r="L28" s="15">
        <f>(520.33142-E28)/520.33142*10^6</f>
        <v>-2.5599069148037006</v>
      </c>
      <c r="M28" s="16">
        <f>(520.33221-E28)/520.33221*10^6</f>
        <v>-1.0416422231401428</v>
      </c>
      <c r="N28" s="16">
        <f>(520.33221-E28)/520.33221*10^6</f>
        <v>-1.0416422231401428</v>
      </c>
      <c r="O28" s="16">
        <f>(520.33197-E28)/520.33197*10^6</f>
        <v>-1.502886705331604</v>
      </c>
      <c r="P28" s="15">
        <f>(520.33252-E28)/520.33252*10^6</f>
        <v>-0.44586873021638257</v>
      </c>
      <c r="Q28" s="15">
        <f>(520.33301-E28)/E28*10^6</f>
        <v>0.49583655636777368</v>
      </c>
      <c r="R28" s="16">
        <f>(520.33252-E28)/520.33252*10^6</f>
        <v>-0.44586873021638257</v>
      </c>
      <c r="S28" s="16">
        <f>(520.33197-E28)/520.33197*10^6</f>
        <v>-1.502886705331604</v>
      </c>
      <c r="T28" s="15">
        <f>(520.33142-E28)/520.33142*10^6</f>
        <v>-2.5599069148037006</v>
      </c>
      <c r="U28" s="15">
        <f>(520.33228-E28)/520.33228*10^6</f>
        <v>-0.90711266281398073</v>
      </c>
      <c r="V28" s="15">
        <f>(520.33209-E28)/520.33209*10^6</f>
        <v>-1.2722644110493229</v>
      </c>
      <c r="W28" s="28">
        <f>(520.33289-E28)/E28*10^6</f>
        <v>0.26521490231436368</v>
      </c>
      <c r="X28" s="28">
        <f>(520.33289-E28)/E28*10^6</f>
        <v>0.26521490231436368</v>
      </c>
      <c r="Y28" s="20">
        <f>(520.33301-E28)/E28*10^6</f>
        <v>0.49583655636777368</v>
      </c>
      <c r="Z28" s="26">
        <f>(520.33362-E28)/E28*10^6</f>
        <v>1.6681632986434813</v>
      </c>
      <c r="AA28" s="29">
        <f>(520.33289-E28)/E28*10^6</f>
        <v>0.26521490231436368</v>
      </c>
      <c r="AB28" s="29">
        <f>(520.33258-E28)/520.33258*10^6</f>
        <v>-0.33055781365927367</v>
      </c>
      <c r="AC28" s="27">
        <f>(520.33252-E28)/520.33252*10^6</f>
        <v>-0.44586873021638257</v>
      </c>
      <c r="AD28" s="27">
        <f>(520.33252-E28)/520.33252*10^6</f>
        <v>-0.44586873021638257</v>
      </c>
      <c r="AE28" s="21">
        <f>(520.33402-E28)/E28*10^6</f>
        <v>2.4369021459979887</v>
      </c>
      <c r="AF28" s="21">
        <f>(520.33431-E28)/E28*10^6</f>
        <v>2.9942378102152993</v>
      </c>
      <c r="AG28" s="21">
        <f>(520.33313-E28)/E28*10^6</f>
        <v>0.72645821063967242</v>
      </c>
      <c r="AH28" s="21">
        <f>(520.33343-E28)/E28*10^6</f>
        <v>1.3030123462101748</v>
      </c>
      <c r="AI28" s="22">
        <v>0.89</v>
      </c>
      <c r="AJ28" s="22">
        <v>-0.77</v>
      </c>
      <c r="AK28" s="22">
        <v>2.64</v>
      </c>
      <c r="AL28" s="22">
        <v>0.87</v>
      </c>
      <c r="AM28" s="30">
        <v>1.34</v>
      </c>
      <c r="AN28" s="66">
        <f>(520.332811759548-E28)/MIN(520.332811759548,E28)*10^6</f>
        <v>0.11484871507823198</v>
      </c>
      <c r="AO28" s="66" t="s">
        <v>3</v>
      </c>
      <c r="AP28" s="66" t="s">
        <v>3</v>
      </c>
      <c r="AQ28" s="66" t="s">
        <v>3</v>
      </c>
      <c r="AR28" s="66">
        <f>(503.306925822277-503.306203)/MIN(503.306925822277,503.306203)*10^6</f>
        <v>1.4361481592909326</v>
      </c>
      <c r="AS28" s="46">
        <f>(520.33331-520.33275)/520.33275*10^6</f>
        <v>1.0762343903019327</v>
      </c>
      <c r="AT28" s="46">
        <f>(520.33069-520.33275)/520.33069*10^6</f>
        <v>-3.9590207527997139</v>
      </c>
      <c r="AU28" s="46">
        <f>(520.32928-520.33275)/520.32928*10^6</f>
        <v>-6.6688539995154192</v>
      </c>
      <c r="AV28" s="46">
        <f>(520.33392-520.33275)/520.33275*10^6</f>
        <v>2.2485611370837058</v>
      </c>
      <c r="AW28" s="53">
        <f>(520.33195-E28)/520.33195*10^6</f>
        <v>-1.5413237646112403</v>
      </c>
      <c r="AX28" s="53" t="s">
        <v>3</v>
      </c>
      <c r="AY28" s="57">
        <f>(520.3329-E28)/520.3329*10^6</f>
        <v>0.28443329254674543</v>
      </c>
      <c r="AZ28" s="57" t="s">
        <v>3</v>
      </c>
      <c r="BA28" s="121" t="s">
        <v>3</v>
      </c>
    </row>
    <row r="29" spans="1:53" x14ac:dyDescent="0.25">
      <c r="A29" s="38">
        <v>26</v>
      </c>
      <c r="B29" s="139" t="s">
        <v>81</v>
      </c>
      <c r="C29" s="38" t="s">
        <v>138</v>
      </c>
      <c r="D29" s="38" t="s">
        <v>169</v>
      </c>
      <c r="E29" s="48">
        <v>564.35896700000001</v>
      </c>
      <c r="F29" s="23">
        <f>(564.35828-E29)/564.35828*10^6</f>
        <v>-1.2173118111615093</v>
      </c>
      <c r="G29" s="23">
        <f>(564.35828-E29)/564.35828*10^6</f>
        <v>-1.2173118111615093</v>
      </c>
      <c r="H29" s="23">
        <f>(564.35828-E29)/564.35828*10^6</f>
        <v>-1.2173118111615093</v>
      </c>
      <c r="I29" s="25" t="s">
        <v>3</v>
      </c>
      <c r="J29" s="24" t="s">
        <v>3</v>
      </c>
      <c r="K29" s="114">
        <f>(564.35669-E29)/564.35669*10^6</f>
        <v>-4.034682392174985</v>
      </c>
      <c r="L29" s="15">
        <f>(564.35748-E29)/564.35748*10^6</f>
        <v>-2.634854773250018</v>
      </c>
      <c r="M29" s="16">
        <f>(564.35852-E29)/564.35852*10^6</f>
        <v>-0.79204970629007587</v>
      </c>
      <c r="N29" s="16">
        <f>(564.35852-E29)/564.35852*10^6</f>
        <v>-0.79204970629007587</v>
      </c>
      <c r="O29" s="16">
        <f>(564.35822-E29)/564.35822*10^6</f>
        <v>-1.3236273940453682</v>
      </c>
      <c r="P29" s="16">
        <f>(564.3573-E29)/564.3573*10^6</f>
        <v>-2.9538024935579688</v>
      </c>
      <c r="Q29" s="16">
        <f>(564.35919-E29)/E29*10^6</f>
        <v>0.39513857853775064</v>
      </c>
      <c r="R29" s="16">
        <f>(564.35773-E29)/564.35773*10^6</f>
        <v>-2.1918721660109215</v>
      </c>
      <c r="S29" s="16">
        <f>(564.35822-E29)/564.35822*10^6</f>
        <v>-1.3236273940453682</v>
      </c>
      <c r="T29" s="15">
        <f>(564.35748-E29)/564.35748*10^6</f>
        <v>-2.634854773250018</v>
      </c>
      <c r="U29" s="15">
        <f>(564.35852-E29)/564.35852*10^6</f>
        <v>-0.79204970629007587</v>
      </c>
      <c r="V29" s="16">
        <f>(564.35858-E29)/564.35858*10^6</f>
        <v>-0.68573423663745925</v>
      </c>
      <c r="W29" s="28">
        <f>(564.35938-E29)/E29*10^6</f>
        <v>0.73180373508702801</v>
      </c>
      <c r="X29" s="28">
        <f>(564.35931-E29)/564.35931*10^6</f>
        <v>0.6077688344390082</v>
      </c>
      <c r="Y29" s="20">
        <f>(564.35938-E29)/E29*10^6</f>
        <v>0.73180373508702801</v>
      </c>
      <c r="Z29" s="26">
        <f>(564.35968-E29)/E29*10^6</f>
        <v>1.2633802981974014</v>
      </c>
      <c r="AA29" s="29">
        <f>(564.35931-E29)/E29*10^6</f>
        <v>0.6077692038221888</v>
      </c>
      <c r="AB29" s="29">
        <f>(564.35901-E29)/E29*10^6</f>
        <v>7.6192640711815376E-2</v>
      </c>
      <c r="AC29" s="27">
        <f>(564.3587-E29)/564.3587*10^6</f>
        <v>-0.47310336494858823</v>
      </c>
      <c r="AD29" s="27">
        <f>(564.3587-E29)/564.3587*10^6</f>
        <v>-0.47310336494858823</v>
      </c>
      <c r="AE29" s="21">
        <f>(564.36057-E29)/E29*10^6</f>
        <v>2.8403907686037355</v>
      </c>
      <c r="AF29" s="21">
        <f>(564.36096-E29)/E29*10^6</f>
        <v>3.5314403004256323</v>
      </c>
      <c r="AG29" s="21">
        <f>(564.35948-E29)/E29*10^6</f>
        <v>0.90899592272333785</v>
      </c>
      <c r="AH29" s="21">
        <f>(564.35892-E29)/564.35892*10^6</f>
        <v>-8.3280335136765887E-2</v>
      </c>
      <c r="AI29" s="22">
        <v>0.71</v>
      </c>
      <c r="AJ29" s="22">
        <v>-1.62</v>
      </c>
      <c r="AK29" s="22">
        <v>3.77</v>
      </c>
      <c r="AL29" s="22">
        <v>0.61</v>
      </c>
      <c r="AM29" s="30">
        <v>3.25</v>
      </c>
      <c r="AN29" s="66">
        <f>(564.359179591175-E29)/MIN(564.359179591175,E29)*10^6</f>
        <v>0.37669495379869311</v>
      </c>
      <c r="AO29" s="66" t="s">
        <v>3</v>
      </c>
      <c r="AP29" s="66" t="s">
        <v>3</v>
      </c>
      <c r="AQ29" s="66" t="s">
        <v>3</v>
      </c>
      <c r="AR29" s="66" t="s">
        <v>3</v>
      </c>
      <c r="AS29" s="46">
        <f>(564.35577-564.35897)/564.35577*10^6</f>
        <v>-5.670182126413879</v>
      </c>
      <c r="AT29" s="46">
        <f>(564.36072-564.35897)/564.35897*10^6</f>
        <v>3.100863267957735</v>
      </c>
      <c r="AU29" s="46">
        <f>(564.35779-564.35897)/564.35779*10^6</f>
        <v>-2.0908721752146704</v>
      </c>
      <c r="AV29" s="46">
        <f>(564.35773-564.35897)/564.35773*10^6</f>
        <v>-2.197187943279403</v>
      </c>
      <c r="AW29" s="53">
        <f>(564.35723-E29)/564.35723*10^6</f>
        <v>-3.0778377731570541</v>
      </c>
      <c r="AX29" s="53" t="s">
        <v>3</v>
      </c>
      <c r="AY29" s="57">
        <f>(564.35868-E29)/564.35868*10^6</f>
        <v>-0.50854183718325319</v>
      </c>
      <c r="AZ29" s="57">
        <f>(564.3631-E29)/564.3631*10^6</f>
        <v>7.3232994857820559</v>
      </c>
      <c r="BA29" s="121" t="s">
        <v>3</v>
      </c>
    </row>
    <row r="30" spans="1:53" x14ac:dyDescent="0.25">
      <c r="A30" s="38">
        <v>27</v>
      </c>
      <c r="B30" s="139" t="s">
        <v>82</v>
      </c>
      <c r="C30" s="38" t="s">
        <v>138</v>
      </c>
      <c r="D30" s="38" t="s">
        <v>170</v>
      </c>
      <c r="E30" s="48">
        <v>608.38518199999999</v>
      </c>
      <c r="F30" s="23">
        <f>(608.38232-E30)/608.38232*10^6</f>
        <v>-4.704278717265181</v>
      </c>
      <c r="G30" s="23">
        <f>(608.38232-E30)/608.38232*10^6</f>
        <v>-4.704278717265181</v>
      </c>
      <c r="H30" s="23">
        <f>(608.38232-E30)/608.38232*10^6</f>
        <v>-4.704278717265181</v>
      </c>
      <c r="I30" s="25" t="s">
        <v>3</v>
      </c>
      <c r="J30" s="24" t="s">
        <v>3</v>
      </c>
      <c r="K30" s="114">
        <f>(608.38312-E30)/608.38312*10^6</f>
        <v>-3.3893116561543413</v>
      </c>
      <c r="L30" s="15">
        <f>(608.38373-E30)/608.38373*10^6</f>
        <v>-2.3866515956500529</v>
      </c>
      <c r="M30" s="16">
        <f>(608.3847-E30)/608.3847*10^6</f>
        <v>-0.79226186988861202</v>
      </c>
      <c r="N30" s="16">
        <f>(608.3847-E30)/608.3847*10^6</f>
        <v>-0.79226186988861202</v>
      </c>
      <c r="O30" s="16">
        <f>(608.38428-E30)/608.38428*10^6</f>
        <v>-1.4826155600148079</v>
      </c>
      <c r="P30" s="15">
        <f>(608.38452-E30)/608.38452*10^6</f>
        <v>-1.088127620396905</v>
      </c>
      <c r="Q30" s="16">
        <f>(608.38538-E30)/E30*10^6</f>
        <v>0.32545171369497988</v>
      </c>
      <c r="R30" s="15">
        <f>(608.38489-E30)/608.38489*10^6</f>
        <v>-0.47995932302804534</v>
      </c>
      <c r="S30" s="15">
        <f>(608.38428-E30)/608.38428*10^6</f>
        <v>-1.4826155600148079</v>
      </c>
      <c r="T30" s="15">
        <f>(608.38342-E30)/608.38342*10^6</f>
        <v>-2.8961998997033223</v>
      </c>
      <c r="U30" s="15">
        <f>(608.38312-E30)/608.3852*10^6</f>
        <v>-3.3893000684821799</v>
      </c>
      <c r="V30" s="15">
        <f>(608.38483-E30)/608.38483*10^6</f>
        <v>-0.5785811589364912</v>
      </c>
      <c r="W30" s="28">
        <f>(608.38562-E30)/E30*10^6</f>
        <v>0.71993863918767287</v>
      </c>
      <c r="X30" s="28">
        <f>(608.38562-E30)/E30*10^6</f>
        <v>0.71993863918767287</v>
      </c>
      <c r="Y30" s="20">
        <f>(608.3847-E30)/608.3847*10^6</f>
        <v>-0.79226186988861202</v>
      </c>
      <c r="Z30" s="26">
        <f>(608.3852-E30)/E30*10^6</f>
        <v>2.9586519528743561E-2</v>
      </c>
      <c r="AA30" s="29">
        <f>(608.38507-E30)/608.38507*10^6</f>
        <v>-0.18409393239153757</v>
      </c>
      <c r="AB30" s="29">
        <f>(608.38599-E30)/E30*10^6</f>
        <v>1.3281059827100772</v>
      </c>
      <c r="AC30" s="27">
        <f>(608.38489-E30)/608.38489*10^6</f>
        <v>-0.47995932302804534</v>
      </c>
      <c r="AD30" s="27" t="s">
        <v>3</v>
      </c>
      <c r="AE30" s="21">
        <f>(608.38655-E30)/E30*10^6</f>
        <v>2.2485754757755161</v>
      </c>
      <c r="AF30" s="21">
        <f>(608.38738-E30)/E30*10^6</f>
        <v>3.6128427599034429</v>
      </c>
      <c r="AG30" s="21">
        <f>(608.38625-E30)/E30*10^6</f>
        <v>1.7554668187695002</v>
      </c>
      <c r="AH30" s="21">
        <f>(608.38611-E30)/E30*10^6</f>
        <v>1.5253494455498571</v>
      </c>
      <c r="AI30" s="22">
        <v>2.78</v>
      </c>
      <c r="AJ30" s="22">
        <v>-1.94</v>
      </c>
      <c r="AK30" s="22">
        <v>4.2300000000000004</v>
      </c>
      <c r="AL30" s="22">
        <v>0.03</v>
      </c>
      <c r="AM30" s="30">
        <v>1.58</v>
      </c>
      <c r="AN30" s="66">
        <f>(608.385312241485-E30)/MIN(608.385312241485,E30)*10^6</f>
        <v>0.21407734593216554</v>
      </c>
      <c r="AO30" s="66">
        <f>(608.38443309703-E30)/MIN(608.38443309703,E30)*10^6</f>
        <v>-1.23096997439364</v>
      </c>
      <c r="AP30" s="66">
        <f>(608.385206038521-E30)/MIN(608.385206038521,E30)*10^6</f>
        <v>3.9512009382018827E-2</v>
      </c>
      <c r="AQ30" s="66">
        <f>(608.384931093273-E30)/MIN(608.384931093273,E30)*10^6</f>
        <v>-0.41241443387177895</v>
      </c>
      <c r="AR30" s="66">
        <f>(608.385995757208-E30)/MIN(608.385995757208,E30)*10^6</f>
        <v>1.3375690797037669</v>
      </c>
      <c r="AS30" s="46">
        <f>(608.38953-608.38518)/608.38518*10^6</f>
        <v>7.1500755492514285</v>
      </c>
      <c r="AT30" s="46">
        <f>(608.3819-608.38518)/608.3819*10^6</f>
        <v>-5.3913504001646579</v>
      </c>
      <c r="AU30" s="46">
        <f>(608.3847-608.38518)/608.3847*10^6</f>
        <v>-0.78897447624615114</v>
      </c>
      <c r="AV30" s="46">
        <f>(608.38562-608.38518)/608.38518*10^6</f>
        <v>0.72322603260318608</v>
      </c>
      <c r="AW30" s="53" t="s">
        <v>3</v>
      </c>
      <c r="AX30" s="53" t="s">
        <v>3</v>
      </c>
      <c r="AY30" s="57" t="s">
        <v>3</v>
      </c>
      <c r="AZ30" s="57" t="s">
        <v>3</v>
      </c>
      <c r="BA30" s="121" t="s">
        <v>3</v>
      </c>
    </row>
    <row r="31" spans="1:53" x14ac:dyDescent="0.25">
      <c r="A31" s="38">
        <v>28</v>
      </c>
      <c r="B31" s="139" t="s">
        <v>83</v>
      </c>
      <c r="C31" s="38" t="s">
        <v>138</v>
      </c>
      <c r="D31" s="38" t="s">
        <v>171</v>
      </c>
      <c r="E31" s="48">
        <v>652.41139699999997</v>
      </c>
      <c r="F31" s="23">
        <f>(652.40833-E31)/652.40833*10^6</f>
        <v>-4.7010435933386603</v>
      </c>
      <c r="G31" s="23">
        <f>(652.40833-E31)/652.40833*10^6</f>
        <v>-4.7010435933386603</v>
      </c>
      <c r="H31" s="23">
        <f>(652.40833-E31)/652.40833*10^6</f>
        <v>-4.7010435933386603</v>
      </c>
      <c r="I31" s="25" t="s">
        <v>3</v>
      </c>
      <c r="J31" s="24" t="s">
        <v>3</v>
      </c>
      <c r="K31" s="114">
        <f>(652.409-E31)/652.409*10^6</f>
        <v>-3.6740756181682954</v>
      </c>
      <c r="L31" s="15">
        <f>(652.41028-E31)/652.41028*10^6</f>
        <v>-1.7121128134615187</v>
      </c>
      <c r="M31" s="16">
        <f>(652.41083-E31)/652.41083*10^6</f>
        <v>-0.86908428533092352</v>
      </c>
      <c r="N31" s="16">
        <f>(652.41083-E31)/652.41083*10^6</f>
        <v>-0.86908428533092352</v>
      </c>
      <c r="O31" s="16">
        <f>(652.41058-E31)/652.41058*10^6</f>
        <v>-1.2522788946550136</v>
      </c>
      <c r="P31" s="15">
        <f>(652.41107-E31)/652.41107*10^6</f>
        <v>-0.50121773680236947</v>
      </c>
      <c r="Q31" s="15">
        <f>(652.41193-E31)/E31*10^6</f>
        <v>0.81696917385173518</v>
      </c>
      <c r="R31" s="15">
        <f>(652.41083-E31)/652.41083*10^6</f>
        <v>-0.86908428533092352</v>
      </c>
      <c r="S31" s="15">
        <f>(652.41058-E31)/652.41058*10^6</f>
        <v>-1.2522788946550136</v>
      </c>
      <c r="T31" s="15">
        <f>(652.40997-E31)/652.40997*10^6</f>
        <v>-2.187274973620442</v>
      </c>
      <c r="U31" s="15">
        <f>(652.40948-E31)/652.40948*10^6</f>
        <v>-2.9383386641391041</v>
      </c>
      <c r="V31" s="15">
        <f>(652.40942-E31)/652.40942*10^6</f>
        <v>-3.0303057242962184</v>
      </c>
      <c r="W31" s="20">
        <f>(652.41168-E31)/E31*10^6</f>
        <v>0.43377537759552898</v>
      </c>
      <c r="X31" s="20">
        <f>(652.41162-E31)/E31*10^6</f>
        <v>0.34180886635463442</v>
      </c>
      <c r="Y31" s="20" t="s">
        <v>3</v>
      </c>
      <c r="Z31" s="17">
        <f>(652.41321-E31)/E31*10^6</f>
        <v>2.778921411275983</v>
      </c>
      <c r="AA31" s="18">
        <f>(652.4118-E31)/E31*10^6</f>
        <v>0.61770839972880542</v>
      </c>
      <c r="AB31" s="18">
        <f>(652.41107-E31)/652.41107*10^6</f>
        <v>-0.50121773680236947</v>
      </c>
      <c r="AC31" s="19">
        <f>(652.41132-E31)/652.41132*10^6</f>
        <v>-0.11802370308240592</v>
      </c>
      <c r="AD31" s="27" t="s">
        <v>3</v>
      </c>
      <c r="AE31" s="21">
        <f>(652.41322-E31)/E31*10^6</f>
        <v>2.7942491630913797</v>
      </c>
      <c r="AF31" s="21">
        <f>(652.41335-E31)/E31*10^6</f>
        <v>2.9935099372143097</v>
      </c>
      <c r="AG31" s="21">
        <f>(652.41276-E31)/E31*10^6</f>
        <v>2.089172577840555</v>
      </c>
      <c r="AH31" s="21">
        <f>(652.41307-E31)/E31*10^6</f>
        <v>2.5643328851633997</v>
      </c>
      <c r="AI31" s="22">
        <v>1.58</v>
      </c>
      <c r="AJ31" s="22">
        <v>-0.77</v>
      </c>
      <c r="AK31" s="22">
        <v>2.0299999999999998</v>
      </c>
      <c r="AL31" s="22">
        <v>-1.1299999999999999</v>
      </c>
      <c r="AM31" s="30">
        <v>-2.17</v>
      </c>
      <c r="AN31" s="66">
        <f>(652.411682326727-E31)/MIN(652.411682326727,E31)*10^6</f>
        <v>0.43734172698182311</v>
      </c>
      <c r="AO31" s="66" t="s">
        <v>3</v>
      </c>
      <c r="AP31" s="66" t="s">
        <v>3</v>
      </c>
      <c r="AQ31" s="66" t="s">
        <v>3</v>
      </c>
      <c r="AR31" s="66" t="s">
        <v>3</v>
      </c>
      <c r="AS31" s="46">
        <f>(652.4079-652.4114)/652.4079*10^6</f>
        <v>-5.3647419044392866</v>
      </c>
      <c r="AT31" s="46">
        <f>(652.40863-652.4114)/652.40863*10^6</f>
        <v>-4.2458052707569474</v>
      </c>
      <c r="AU31" s="46">
        <f>(652.41321-652.4114)/652.4114*10^6</f>
        <v>2.7743230729741231</v>
      </c>
      <c r="AV31" s="46">
        <f>(652.40973-652.4114)/652.40973*10^6</f>
        <v>-2.5597411001060153</v>
      </c>
      <c r="AW31" s="53">
        <f>(652.40883-E31)/652.40883*10^6</f>
        <v>-3.9346493823498645</v>
      </c>
      <c r="AX31" s="53" t="s">
        <v>3</v>
      </c>
      <c r="AY31" s="57" t="s">
        <v>3</v>
      </c>
      <c r="AZ31" s="57" t="s">
        <v>3</v>
      </c>
      <c r="BA31" s="121" t="s">
        <v>3</v>
      </c>
    </row>
    <row r="32" spans="1:53" x14ac:dyDescent="0.25">
      <c r="A32" s="38">
        <v>29</v>
      </c>
      <c r="B32" s="139" t="s">
        <v>84</v>
      </c>
      <c r="C32" s="38" t="s">
        <v>138</v>
      </c>
      <c r="D32" s="38" t="s">
        <v>172</v>
      </c>
      <c r="E32" s="48">
        <v>696.43761099999995</v>
      </c>
      <c r="F32" s="23">
        <f>(696.43707-E32)/696.43707*10^6</f>
        <v>-0.77681103333334689</v>
      </c>
      <c r="G32" s="23">
        <f>(696.43707-E32)/696.43707*10^6</f>
        <v>-0.77681103333334689</v>
      </c>
      <c r="H32" s="23">
        <f>(696.43707-E32)/696.43707*10^6</f>
        <v>-0.77681103333334689</v>
      </c>
      <c r="I32" s="25" t="s">
        <v>3</v>
      </c>
      <c r="J32" s="24" t="s">
        <v>3</v>
      </c>
      <c r="K32" s="117" t="s">
        <v>3</v>
      </c>
      <c r="L32" s="15">
        <f>(696.43512-E32)/696.43512*10^6</f>
        <v>-3.5767868799660842</v>
      </c>
      <c r="M32" s="15">
        <f>(696.43628-E32)/696.43628*10^6</f>
        <v>-1.9111583330157158</v>
      </c>
      <c r="N32" s="15">
        <f>(696.43628-E32)/696.43628*10^6</f>
        <v>-1.9111583330157158</v>
      </c>
      <c r="O32" s="16">
        <f>(696.43701-E32)/696.43701*10^6</f>
        <v>-0.86296390245048826</v>
      </c>
      <c r="P32" s="15">
        <f>(696.43738-E32)/696.43738*10^6</f>
        <v>-0.33168811241179397</v>
      </c>
      <c r="Q32" s="15">
        <f>(696.4375-E32)/696.4375*10^6</f>
        <v>-0.15938257194238625</v>
      </c>
      <c r="R32" s="16">
        <f>(696.43793-E32)/E32*10^6</f>
        <v>0.45804533681926202</v>
      </c>
      <c r="S32" s="15">
        <f>(696.43707-E32)/696.43707*10^6</f>
        <v>-0.77681103333334689</v>
      </c>
      <c r="T32" s="15">
        <f>(696.43628-E32)/696.43628*10^6</f>
        <v>-1.9111583330157158</v>
      </c>
      <c r="U32" s="15">
        <f>(696.43597-E32)/696.43597*10^6</f>
        <v>-2.356282660055022</v>
      </c>
      <c r="V32" s="15">
        <f>(696.43573-E32)/696.43573*10^6</f>
        <v>-2.7008953143631671</v>
      </c>
      <c r="W32" s="20">
        <f>(696.43817-E32)/E32*10^6</f>
        <v>0.8026562483665024</v>
      </c>
      <c r="X32" s="20">
        <f>(696.43793-E32)/E32*10^6</f>
        <v>0.45804533681926202</v>
      </c>
      <c r="Y32" s="20" t="s">
        <v>3</v>
      </c>
      <c r="Z32" s="17">
        <f>(696.43848-E32)/E32*10^6</f>
        <v>1.2477786758701099</v>
      </c>
      <c r="AA32" s="18">
        <f>(696.43799-E32)/E32*10^6</f>
        <v>0.54419806466526199</v>
      </c>
      <c r="AB32" s="18">
        <f>(696.43793-E32)/E32*10^6</f>
        <v>0.45804533681926202</v>
      </c>
      <c r="AC32" s="19">
        <f>(696.43738-E32)/969.43738*10^6</f>
        <v>-0.2382825386671342</v>
      </c>
      <c r="AD32" s="27" t="s">
        <v>3</v>
      </c>
      <c r="AE32" s="21">
        <f>(696.43956-E32)/E32*10^6</f>
        <v>2.7985277780775526</v>
      </c>
      <c r="AF32" s="21">
        <f>(696.44007-E32)/E32*10^6</f>
        <v>3.5308259651766538</v>
      </c>
      <c r="AG32" s="21">
        <f>(696.43858-E32)/E32*10^6</f>
        <v>1.3913665556678567</v>
      </c>
      <c r="AH32" s="21">
        <f>(696.43684-E32)/696.43684*10^6</f>
        <v>-1.1070637790874021</v>
      </c>
      <c r="AI32" s="22">
        <v>1.08</v>
      </c>
      <c r="AJ32" s="22">
        <v>-0.19</v>
      </c>
      <c r="AK32" s="22">
        <v>-0.68</v>
      </c>
      <c r="AL32" s="22">
        <v>-0.36</v>
      </c>
      <c r="AM32" s="30" t="s">
        <v>3</v>
      </c>
      <c r="AN32" s="66">
        <f>(696.437687336225-E32)/MIN(696.437687336225,E32)*10^6</f>
        <v>0.1096095671754123</v>
      </c>
      <c r="AO32" s="66" t="s">
        <v>3</v>
      </c>
      <c r="AP32" s="66" t="s">
        <v>3</v>
      </c>
      <c r="AQ32" s="66" t="s">
        <v>3</v>
      </c>
      <c r="AR32" s="66" t="s">
        <v>3</v>
      </c>
      <c r="AS32" s="46">
        <f>(696.43982-696.43761)/696.43761*10^6</f>
        <v>3.1732921490334625</v>
      </c>
      <c r="AT32" s="46" t="s">
        <v>3</v>
      </c>
      <c r="AU32" s="46">
        <f>(696.43768-696.43761)/696.43761*10^6</f>
        <v>0.10051151610068944</v>
      </c>
      <c r="AV32" s="46">
        <f>(696.43597-696.43761)/696.43597*10^6</f>
        <v>-2.3548467778769733</v>
      </c>
      <c r="AW32" s="53">
        <f>(696.4369-E32)/696.4369*10^6</f>
        <v>-1.0209108677472434</v>
      </c>
      <c r="AX32" s="53" t="s">
        <v>3</v>
      </c>
      <c r="AY32" s="57" t="s">
        <v>3</v>
      </c>
      <c r="AZ32" s="57" t="s">
        <v>3</v>
      </c>
      <c r="BA32" s="121" t="s">
        <v>3</v>
      </c>
    </row>
    <row r="33" spans="1:53" x14ac:dyDescent="0.25">
      <c r="A33" s="38">
        <v>30</v>
      </c>
      <c r="B33" s="139" t="s">
        <v>85</v>
      </c>
      <c r="C33" s="38" t="s">
        <v>138</v>
      </c>
      <c r="D33" s="38" t="s">
        <v>173</v>
      </c>
      <c r="E33" s="48">
        <v>740.46382600000004</v>
      </c>
      <c r="F33" s="23">
        <f>(740.4599-E33)/740.4599*10^6</f>
        <v>-5.3021102156811528</v>
      </c>
      <c r="G33" s="23">
        <f>(740.46753-E33)/E33*10^6</f>
        <v>5.0022700230741854</v>
      </c>
      <c r="H33" s="23">
        <f>(740.4599-E33)/740.4599*10^6</f>
        <v>-5.3021102156811528</v>
      </c>
      <c r="I33" s="25" t="s">
        <v>3</v>
      </c>
      <c r="J33" s="24" t="s">
        <v>3</v>
      </c>
      <c r="K33" s="117" t="s">
        <v>3</v>
      </c>
      <c r="L33" s="15">
        <f>(740.46393-E33)/E33*10^6</f>
        <v>0.14045250600101417</v>
      </c>
      <c r="M33" s="15">
        <f>(740.46252-E33)/740.46252*10^6</f>
        <v>-1.7637624656540147</v>
      </c>
      <c r="N33" s="15">
        <f>(740.46252-E33)/740.46252*10^6</f>
        <v>-1.7637624656540147</v>
      </c>
      <c r="O33" s="16">
        <f>(740.46289-E33)/740.46289*10^6</f>
        <v>-1.2640741523511743</v>
      </c>
      <c r="P33" s="15">
        <f>(740.46332-E33)/740.46332*10^6</f>
        <v>-0.68335592921296207</v>
      </c>
      <c r="Q33" s="15">
        <f>(740.46338-E33)/740.46338*10^6</f>
        <v>-0.60232553298020841</v>
      </c>
      <c r="R33" s="16">
        <f>(740.46332-E33)/740.46332*10^6</f>
        <v>-0.68335592921296207</v>
      </c>
      <c r="S33" s="15">
        <f>(740.46307-E33)/740.46307*10^6</f>
        <v>-1.0209827210207252</v>
      </c>
      <c r="T33" s="16">
        <f>(740.46228-E33)/740.46228*10^6</f>
        <v>-2.0878848819628795</v>
      </c>
      <c r="U33" s="16">
        <f>(740.46198-E33)/740.46198*10^6</f>
        <v>-2.4930381975864018</v>
      </c>
      <c r="V33" s="15">
        <f>(740.46332-E33)/740.46332*10^6</f>
        <v>-0.68335592921296207</v>
      </c>
      <c r="W33" s="20">
        <f>(740.46411-E33)/E33*10^6</f>
        <v>0.38354338185467274</v>
      </c>
      <c r="X33" s="20">
        <f>(740.46448-E33)/E33*10^6</f>
        <v>0.88323018218640759</v>
      </c>
      <c r="Y33" s="20" t="s">
        <v>3</v>
      </c>
      <c r="Z33" s="17">
        <f>(740.46588-E33)/E33*10^6</f>
        <v>2.7739369943644703</v>
      </c>
      <c r="AA33" s="18">
        <f>(740.46417-E33)/E33*10^6</f>
        <v>0.46457367375471403</v>
      </c>
      <c r="AB33" s="18" t="s">
        <v>3</v>
      </c>
      <c r="AC33" s="19">
        <f>(740.46381-E33)/740.46381*10^6</f>
        <v>-2.1608078419512119E-2</v>
      </c>
      <c r="AD33" s="27" t="s">
        <v>3</v>
      </c>
      <c r="AE33" s="21">
        <f>(740.46539-E33)/E33*10^6</f>
        <v>2.1121896100791182</v>
      </c>
      <c r="AF33" s="21">
        <f>(740.46602-E33)/E33*10^6</f>
        <v>2.963007675566923</v>
      </c>
      <c r="AG33" s="21">
        <f>(740.46594-E33)/E33*10^6</f>
        <v>2.8549672864180464</v>
      </c>
      <c r="AH33" s="21">
        <f>(740.46449-E33)/E33*10^6</f>
        <v>0.8967352308108254</v>
      </c>
      <c r="AI33" s="22">
        <v>-2.4500000000000002</v>
      </c>
      <c r="AJ33" s="22">
        <v>-0.6</v>
      </c>
      <c r="AK33" s="22">
        <v>0.77</v>
      </c>
      <c r="AL33" s="22">
        <v>-0.11</v>
      </c>
      <c r="AM33" s="30" t="s">
        <v>3</v>
      </c>
      <c r="AN33" s="66">
        <f>(740.464055199448-E33)/MIN(740.464055199448,E33)*10^6</f>
        <v>0.30953496973659123</v>
      </c>
      <c r="AO33" s="66" t="s">
        <v>3</v>
      </c>
      <c r="AP33" s="66" t="s">
        <v>3</v>
      </c>
      <c r="AQ33" s="66" t="s">
        <v>3</v>
      </c>
      <c r="AR33" s="66" t="s">
        <v>3</v>
      </c>
      <c r="AS33" s="46">
        <f>(740.46558-740.46383)/740.46383*10^6</f>
        <v>2.3633835024939183</v>
      </c>
      <c r="AT33" s="46" t="s">
        <v>3</v>
      </c>
      <c r="AU33" s="46">
        <f>(740.46729-740.46383)/740.46383*10^6</f>
        <v>4.6727468106284489</v>
      </c>
      <c r="AV33" s="46">
        <f>(740.46307-740.46383)/740.46307*10^6</f>
        <v>-1.0263847459858608</v>
      </c>
      <c r="AW33" s="53" t="s">
        <v>3</v>
      </c>
      <c r="AX33" s="53" t="s">
        <v>3</v>
      </c>
      <c r="AY33" s="57" t="s">
        <v>3</v>
      </c>
      <c r="AZ33" s="57" t="s">
        <v>3</v>
      </c>
      <c r="BA33" s="121" t="s">
        <v>3</v>
      </c>
    </row>
    <row r="34" spans="1:53" x14ac:dyDescent="0.25">
      <c r="A34" s="38">
        <v>31</v>
      </c>
      <c r="B34" s="139" t="s">
        <v>86</v>
      </c>
      <c r="C34" s="38" t="s">
        <v>138</v>
      </c>
      <c r="D34" s="38" t="s">
        <v>174</v>
      </c>
      <c r="E34" s="48">
        <v>784.49004100000002</v>
      </c>
      <c r="F34" s="23">
        <f>(784.49268-E34)/E34*10^6</f>
        <v>3.3639687720790352</v>
      </c>
      <c r="G34" s="23">
        <f>(784.49268-E34)/E34*10^6</f>
        <v>3.3639687720790352</v>
      </c>
      <c r="H34" s="23">
        <f>(784.49268-E34)/E34*10^6</f>
        <v>3.3639687720790352</v>
      </c>
      <c r="I34" s="25" t="s">
        <v>3</v>
      </c>
      <c r="J34" s="24" t="s">
        <v>3</v>
      </c>
      <c r="K34" s="117" t="s">
        <v>3</v>
      </c>
      <c r="L34" s="16">
        <f>(784.48712-E34)/748.48712*10^6</f>
        <v>-3.9025387638131011</v>
      </c>
      <c r="M34" s="15">
        <f>(784.48932-E34)/784.48932*10^6</f>
        <v>-0.91906923602049728</v>
      </c>
      <c r="N34" s="15">
        <f>(784.48932-E34)/784.48932*10^6</f>
        <v>-0.91906923602049728</v>
      </c>
      <c r="O34" s="16">
        <f>(784.48877-E34)/784.48877*10^6</f>
        <v>-1.6201634090622672</v>
      </c>
      <c r="P34" s="15">
        <f>(784.48969-E34)/784.48969*10^6</f>
        <v>-0.44742461819135559</v>
      </c>
      <c r="Q34" s="16">
        <f>(784.49-E34)/784.49*10^6</f>
        <v>-5.2263253846666989E-2</v>
      </c>
      <c r="R34" s="16">
        <f>(784.49011-E34)/E34*10^6</f>
        <v>8.7955227387620308E-2</v>
      </c>
      <c r="S34" s="16">
        <f>(784.48907-E34)/784.48907*10^6</f>
        <v>-1.2377482837964475</v>
      </c>
      <c r="T34" s="16">
        <f>(784.48993-E34)/784.48993*10^6</f>
        <v>-0.14149321210638416</v>
      </c>
      <c r="U34" s="16">
        <f>(784.48962-E34)/784.48962*10^6</f>
        <v>-0.53665464697155019</v>
      </c>
      <c r="V34" s="15">
        <f>(784.48999-E34)/784.48999*10^6</f>
        <v>-6.5010389724570239E-2</v>
      </c>
      <c r="W34" s="20">
        <f>(784.49017-E34)/E34*10^6</f>
        <v>0.16443803397545848</v>
      </c>
      <c r="X34" s="20">
        <f>(784.49072-E34)/E34*10^6</f>
        <v>0.86553042677949343</v>
      </c>
      <c r="Y34" s="20" t="s">
        <v>3</v>
      </c>
      <c r="Z34" s="17">
        <f>(784.49268-E34)/E34*10^6</f>
        <v>3.3639687720790352</v>
      </c>
      <c r="AA34" s="18">
        <f>(784.49048-E34)/E34*10^6</f>
        <v>0.55959920086289516</v>
      </c>
      <c r="AB34" s="18" t="s">
        <v>3</v>
      </c>
      <c r="AC34" s="19">
        <f>(784.48969-E34)/784.48969*10^6</f>
        <v>-0.44742461819135559</v>
      </c>
      <c r="AD34" s="27" t="s">
        <v>3</v>
      </c>
      <c r="AE34" s="21">
        <f>(784.4916-E34)/E34*10^6</f>
        <v>1.9872782552369659</v>
      </c>
      <c r="AF34" s="21">
        <f>(784.49115-E34)/E34*10^6</f>
        <v>1.4136572065527702</v>
      </c>
      <c r="AG34" s="21">
        <f>(784.49128-E34)/E34*10^6</f>
        <v>1.5793699539665287</v>
      </c>
      <c r="AH34" s="21">
        <f>(784.49192-E34)/E34*10^6</f>
        <v>2.3951865566523209</v>
      </c>
      <c r="AI34" s="22">
        <v>0.36</v>
      </c>
      <c r="AJ34" s="22">
        <v>-0.52</v>
      </c>
      <c r="AK34" s="22">
        <v>0.87</v>
      </c>
      <c r="AL34" s="22">
        <v>0.67</v>
      </c>
      <c r="AM34" s="30" t="s">
        <v>3</v>
      </c>
      <c r="AN34" s="65" t="s">
        <v>3</v>
      </c>
      <c r="AO34" s="65" t="s">
        <v>3</v>
      </c>
      <c r="AP34" s="65" t="s">
        <v>3</v>
      </c>
      <c r="AQ34" s="65" t="s">
        <v>3</v>
      </c>
      <c r="AR34" s="65" t="s">
        <v>3</v>
      </c>
      <c r="AS34" s="46">
        <f>(784.49237-784.49004)/784.49004*10^6</f>
        <v>2.9700823225608208</v>
      </c>
      <c r="AT34" s="46" t="s">
        <v>3</v>
      </c>
      <c r="AU34" s="46" t="s">
        <v>3</v>
      </c>
      <c r="AV34" s="46">
        <f>(784.49158-784.49004)/784.49004*10^6</f>
        <v>1.9630587024116029</v>
      </c>
      <c r="AW34" s="53" t="s">
        <v>3</v>
      </c>
      <c r="AX34" s="53" t="s">
        <v>3</v>
      </c>
      <c r="AY34" s="57" t="s">
        <v>3</v>
      </c>
      <c r="AZ34" s="57" t="s">
        <v>3</v>
      </c>
      <c r="BA34" s="121" t="s">
        <v>3</v>
      </c>
    </row>
    <row r="35" spans="1:53" x14ac:dyDescent="0.25">
      <c r="A35" s="38">
        <v>32</v>
      </c>
      <c r="B35" s="139" t="s">
        <v>4</v>
      </c>
      <c r="C35" s="38" t="s">
        <v>138</v>
      </c>
      <c r="D35" s="38" t="s">
        <v>175</v>
      </c>
      <c r="E35" s="48">
        <v>248.079849</v>
      </c>
      <c r="F35" s="23" t="s">
        <v>3</v>
      </c>
      <c r="G35" s="23" t="s">
        <v>3</v>
      </c>
      <c r="H35" s="23" t="s">
        <v>3</v>
      </c>
      <c r="I35" s="25" t="s">
        <v>3</v>
      </c>
      <c r="J35" s="25" t="s">
        <v>3</v>
      </c>
      <c r="K35" s="117" t="s">
        <v>3</v>
      </c>
      <c r="L35" s="16" t="s">
        <v>3</v>
      </c>
      <c r="M35" s="16" t="s">
        <v>3</v>
      </c>
      <c r="N35" s="16" t="s">
        <v>3</v>
      </c>
      <c r="O35" s="15">
        <f>(248.0793-E35)/248.0793*10^6</f>
        <v>-2.2130020521928753</v>
      </c>
      <c r="P35" s="16" t="s">
        <v>3</v>
      </c>
      <c r="Q35" s="16" t="s">
        <v>3</v>
      </c>
      <c r="R35" s="16" t="s">
        <v>3</v>
      </c>
      <c r="S35" s="15">
        <f>(248.0786-E35)/248.0786*10^6</f>
        <v>-5.0346946492014544</v>
      </c>
      <c r="T35" s="15">
        <f>(248.0793-E35)/248.0793*10^6</f>
        <v>-2.2130020521928753</v>
      </c>
      <c r="U35" s="15">
        <f>(248.07919-E35)/248.07919*10^6</f>
        <v>-2.6564098342333513</v>
      </c>
      <c r="V35" s="16" t="s">
        <v>3</v>
      </c>
      <c r="W35" s="28" t="s">
        <v>3</v>
      </c>
      <c r="X35" s="28" t="s">
        <v>3</v>
      </c>
      <c r="Y35" s="20" t="s">
        <v>3</v>
      </c>
      <c r="Z35" s="17" t="s">
        <v>3</v>
      </c>
      <c r="AA35" s="18" t="s">
        <v>3</v>
      </c>
      <c r="AB35" s="18" t="s">
        <v>3</v>
      </c>
      <c r="AC35" s="27" t="s">
        <v>3</v>
      </c>
      <c r="AD35" s="19" t="s">
        <v>3</v>
      </c>
      <c r="AE35" s="21" t="s">
        <v>3</v>
      </c>
      <c r="AF35" s="21" t="s">
        <v>3</v>
      </c>
      <c r="AG35" s="21" t="s">
        <v>3</v>
      </c>
      <c r="AH35" s="21" t="s">
        <v>3</v>
      </c>
      <c r="AI35" s="22" t="s">
        <v>3</v>
      </c>
      <c r="AJ35" s="22" t="s">
        <v>3</v>
      </c>
      <c r="AK35" s="22" t="s">
        <v>3</v>
      </c>
      <c r="AL35" s="22" t="s">
        <v>3</v>
      </c>
      <c r="AM35" s="22" t="s">
        <v>3</v>
      </c>
      <c r="AN35" s="65" t="s">
        <v>3</v>
      </c>
      <c r="AO35" s="65" t="s">
        <v>3</v>
      </c>
      <c r="AP35" s="65" t="s">
        <v>3</v>
      </c>
      <c r="AQ35" s="65" t="s">
        <v>3</v>
      </c>
      <c r="AR35" s="65" t="s">
        <v>3</v>
      </c>
      <c r="AS35" s="46" t="s">
        <v>3</v>
      </c>
      <c r="AT35" s="46" t="s">
        <v>3</v>
      </c>
      <c r="AU35" s="46" t="s">
        <v>3</v>
      </c>
      <c r="AV35" s="46" t="s">
        <v>3</v>
      </c>
      <c r="AW35" s="53" t="s">
        <v>3</v>
      </c>
      <c r="AX35" s="53" t="s">
        <v>3</v>
      </c>
      <c r="AY35" s="57" t="s">
        <v>3</v>
      </c>
      <c r="AZ35" s="57" t="s">
        <v>3</v>
      </c>
      <c r="BA35" s="121" t="s">
        <v>3</v>
      </c>
    </row>
    <row r="36" spans="1:53" x14ac:dyDescent="0.25">
      <c r="A36" s="38">
        <v>33</v>
      </c>
      <c r="B36" s="139" t="s">
        <v>4</v>
      </c>
      <c r="C36" s="38" t="s">
        <v>139</v>
      </c>
      <c r="D36" s="38" t="s">
        <v>175</v>
      </c>
      <c r="E36" s="48">
        <v>229.038747</v>
      </c>
      <c r="F36" s="23" t="s">
        <v>564</v>
      </c>
      <c r="G36" s="23" t="s">
        <v>564</v>
      </c>
      <c r="H36" s="23" t="s">
        <v>564</v>
      </c>
      <c r="I36" s="25" t="s">
        <v>3</v>
      </c>
      <c r="J36" s="25" t="s">
        <v>3</v>
      </c>
      <c r="K36" s="117">
        <v>0.82955413213341311</v>
      </c>
      <c r="L36" s="15" t="s">
        <v>3</v>
      </c>
      <c r="M36" s="15">
        <f>(229.0379-229.03875)/229.0379*10^6</f>
        <v>-3.711176185188497</v>
      </c>
      <c r="N36" s="15">
        <f>(229.0377-229.03875)/229.0377*10^6</f>
        <v>-4.5843981143376125</v>
      </c>
      <c r="O36" s="15">
        <f>(229.03799-229.03875)/229.03799*10^6</f>
        <v>-3.3182268146233689</v>
      </c>
      <c r="P36" s="15">
        <f>(229.0379-229.03875)/229.0379*10^6</f>
        <v>-3.711176185188497</v>
      </c>
      <c r="Q36" s="15">
        <f>(229.0379-229.03875)/229.0379*10^6</f>
        <v>-3.711176185188497</v>
      </c>
      <c r="R36" s="15">
        <f>(229.0378-229.03875)/229.0378*10^6</f>
        <v>-4.1477869591347112</v>
      </c>
      <c r="S36" s="15">
        <f>(229.0378-229.03875)/229.0378*10^6</f>
        <v>-4.1477869591347112</v>
      </c>
      <c r="T36" s="15">
        <f>(229.0381-229.03875)/229.0381*10^6</f>
        <v>-2.8379557811882257</v>
      </c>
      <c r="U36" s="15">
        <f>(229.03799-229.03875)/229.03799*10^6</f>
        <v>-3.3182268146233689</v>
      </c>
      <c r="V36" s="15" t="s">
        <v>3</v>
      </c>
      <c r="W36" s="20" t="s">
        <v>564</v>
      </c>
      <c r="X36" s="20" t="s">
        <v>564</v>
      </c>
      <c r="Y36" s="20" t="s">
        <v>564</v>
      </c>
      <c r="Z36" s="26" t="s">
        <v>3</v>
      </c>
      <c r="AA36" s="29" t="s">
        <v>3</v>
      </c>
      <c r="AB36" s="29" t="s">
        <v>3</v>
      </c>
      <c r="AC36" s="27">
        <f>(229.03889-229.04)/229.03889*10^6</f>
        <v>-4.8463385409475519</v>
      </c>
      <c r="AD36" s="27" t="s">
        <v>3</v>
      </c>
      <c r="AE36" s="21">
        <f>(229.03934-E36)/E36*10^6</f>
        <v>2.589081575831226</v>
      </c>
      <c r="AF36" s="21" t="s">
        <v>3</v>
      </c>
      <c r="AG36" s="21" t="s">
        <v>3</v>
      </c>
      <c r="AH36" s="21" t="s">
        <v>3</v>
      </c>
      <c r="AI36" s="22" t="s">
        <v>3</v>
      </c>
      <c r="AJ36" s="22" t="s">
        <v>564</v>
      </c>
      <c r="AK36" s="22" t="s">
        <v>3</v>
      </c>
      <c r="AL36" s="22" t="s">
        <v>3</v>
      </c>
      <c r="AM36" s="22" t="s">
        <v>564</v>
      </c>
      <c r="AN36" s="65" t="s">
        <v>564</v>
      </c>
      <c r="AO36" s="65" t="s">
        <v>564</v>
      </c>
      <c r="AP36" s="65" t="s">
        <v>564</v>
      </c>
      <c r="AQ36" s="65" t="s">
        <v>564</v>
      </c>
      <c r="AR36" s="65" t="s">
        <v>564</v>
      </c>
      <c r="AS36" s="46" t="s">
        <v>3</v>
      </c>
      <c r="AT36" s="46" t="s">
        <v>3</v>
      </c>
      <c r="AU36" s="46" t="s">
        <v>3</v>
      </c>
      <c r="AV36" s="46" t="s">
        <v>3</v>
      </c>
      <c r="AW36" s="53">
        <f>(229.038822-E36)/229.038822*10^6</f>
        <v>0.32745540408688956</v>
      </c>
      <c r="AX36" s="53" t="s">
        <v>3</v>
      </c>
      <c r="AY36" s="57" t="s">
        <v>3</v>
      </c>
      <c r="AZ36" s="57" t="s">
        <v>3</v>
      </c>
      <c r="BA36" s="121" t="s">
        <v>3</v>
      </c>
    </row>
    <row r="37" spans="1:53" x14ac:dyDescent="0.25">
      <c r="A37" s="38">
        <v>34</v>
      </c>
      <c r="B37" s="139" t="s">
        <v>5</v>
      </c>
      <c r="C37" s="38" t="s">
        <v>138</v>
      </c>
      <c r="D37" s="38" t="s">
        <v>176</v>
      </c>
      <c r="E37" s="48">
        <v>292.106064</v>
      </c>
      <c r="F37" s="23" t="s">
        <v>3</v>
      </c>
      <c r="G37" s="23" t="s">
        <v>3</v>
      </c>
      <c r="H37" s="23" t="s">
        <v>3</v>
      </c>
      <c r="I37" s="25" t="s">
        <v>3</v>
      </c>
      <c r="J37" s="25" t="s">
        <v>3</v>
      </c>
      <c r="K37" s="117" t="s">
        <v>3</v>
      </c>
      <c r="L37" s="16" t="s">
        <v>3</v>
      </c>
      <c r="M37" s="15">
        <f>(292.10541-E37)/292.10541*10^6</f>
        <v>-2.2389177933995397</v>
      </c>
      <c r="N37" s="16" t="s">
        <v>3</v>
      </c>
      <c r="O37" s="15">
        <f>(292.1058-E37)/292.1058*10^6</f>
        <v>-0.90378212283215575</v>
      </c>
      <c r="P37" s="15">
        <f>(292.10599-E37)/292.10599*10^6</f>
        <v>-0.25333270291272775</v>
      </c>
      <c r="Q37" s="16" t="s">
        <v>3</v>
      </c>
      <c r="R37" s="16" t="s">
        <v>3</v>
      </c>
      <c r="S37" s="15">
        <f>(292.1051-E37)/292.1051*10^6</f>
        <v>-3.3001820235607013</v>
      </c>
      <c r="T37" s="15">
        <f>(292.1058-E37)/292.1058*10^6</f>
        <v>-0.90378212283215575</v>
      </c>
      <c r="U37" s="15">
        <f>(292.1058-E37)/292.1058*10^6</f>
        <v>-0.90378212283215575</v>
      </c>
      <c r="V37" s="16" t="s">
        <v>3</v>
      </c>
      <c r="W37" s="28" t="s">
        <v>3</v>
      </c>
      <c r="X37" s="28" t="s">
        <v>3</v>
      </c>
      <c r="Y37" s="20" t="s">
        <v>3</v>
      </c>
      <c r="Z37" s="17" t="s">
        <v>3</v>
      </c>
      <c r="AA37" s="18" t="s">
        <v>3</v>
      </c>
      <c r="AB37" s="18" t="s">
        <v>3</v>
      </c>
      <c r="AC37" s="19">
        <f>(292.10599-E37)/292.10599*10^6</f>
        <v>-0.25333270291272775</v>
      </c>
      <c r="AD37" s="19" t="s">
        <v>3</v>
      </c>
      <c r="AE37" s="21">
        <f>(292.10631-E37)/E37*10^6</f>
        <v>0.84215985329283449</v>
      </c>
      <c r="AF37" s="21" t="s">
        <v>3</v>
      </c>
      <c r="AG37" s="21" t="s">
        <v>3</v>
      </c>
      <c r="AH37" s="21" t="s">
        <v>3</v>
      </c>
      <c r="AI37" s="22" t="s">
        <v>3</v>
      </c>
      <c r="AJ37" s="22" t="s">
        <v>3</v>
      </c>
      <c r="AK37" s="22" t="s">
        <v>3</v>
      </c>
      <c r="AL37" s="22" t="s">
        <v>3</v>
      </c>
      <c r="AM37" s="22" t="s">
        <v>3</v>
      </c>
      <c r="AN37" s="65" t="s">
        <v>3</v>
      </c>
      <c r="AO37" s="65" t="s">
        <v>3</v>
      </c>
      <c r="AP37" s="65" t="s">
        <v>3</v>
      </c>
      <c r="AQ37" s="65" t="s">
        <v>3</v>
      </c>
      <c r="AR37" s="65" t="s">
        <v>3</v>
      </c>
      <c r="AS37" s="46" t="s">
        <v>3</v>
      </c>
      <c r="AT37" s="46" t="s">
        <v>3</v>
      </c>
      <c r="AU37" s="46" t="s">
        <v>3</v>
      </c>
      <c r="AV37" s="46" t="s">
        <v>3</v>
      </c>
      <c r="AW37" s="53" t="s">
        <v>3</v>
      </c>
      <c r="AX37" s="53" t="s">
        <v>3</v>
      </c>
      <c r="AY37" s="57" t="s">
        <v>3</v>
      </c>
      <c r="AZ37" s="57" t="s">
        <v>3</v>
      </c>
      <c r="BA37" s="121" t="s">
        <v>3</v>
      </c>
    </row>
    <row r="38" spans="1:53" x14ac:dyDescent="0.25">
      <c r="A38" s="38">
        <v>35</v>
      </c>
      <c r="B38" s="139" t="s">
        <v>5</v>
      </c>
      <c r="C38" s="38" t="s">
        <v>139</v>
      </c>
      <c r="D38" s="38" t="s">
        <v>176</v>
      </c>
      <c r="E38" s="48">
        <v>273.06496199999998</v>
      </c>
      <c r="F38" s="23" t="s">
        <v>564</v>
      </c>
      <c r="G38" s="23" t="s">
        <v>564</v>
      </c>
      <c r="H38" s="23" t="s">
        <v>564</v>
      </c>
      <c r="I38" s="25" t="s">
        <v>3</v>
      </c>
      <c r="J38" s="25" t="s">
        <v>3</v>
      </c>
      <c r="K38" s="117">
        <v>0.69587205028094357</v>
      </c>
      <c r="L38" s="15" t="s">
        <v>3</v>
      </c>
      <c r="M38" s="15">
        <f>(273.06369-273.06496)/273.06369*10^6</f>
        <v>-4.6509296053854312</v>
      </c>
      <c r="N38" s="15">
        <f>(273.0639-273.06496)/273.0639*10^6</f>
        <v>-3.8818752680064921</v>
      </c>
      <c r="O38" s="15">
        <f>(273.06409-273.06496)/273.06409*10^6</f>
        <v>-3.1860652199397985</v>
      </c>
      <c r="P38" s="15">
        <f>(273.064-273.06496)/273.064*10^6</f>
        <v>-3.5156593324775747</v>
      </c>
      <c r="Q38" s="15">
        <f>(273.06409-273.06496)/273.06409*10^6</f>
        <v>-3.1860652199397985</v>
      </c>
      <c r="R38" s="15">
        <f>(273.0639-273.06496)/273.0639*10^6</f>
        <v>-3.8818752680064921</v>
      </c>
      <c r="S38" s="15">
        <f>(273.064-273.06496)/273.064*10^6</f>
        <v>-3.5156593324775747</v>
      </c>
      <c r="T38" s="15">
        <f>(273.0639-273.06496)/273.0639*10^6</f>
        <v>-3.8818752680064921</v>
      </c>
      <c r="U38" s="15">
        <f>(273.064-273.06496)/273.064*10^6</f>
        <v>-3.5156593324775747</v>
      </c>
      <c r="V38" s="15" t="s">
        <v>3</v>
      </c>
      <c r="W38" s="20" t="s">
        <v>564</v>
      </c>
      <c r="X38" s="20" t="s">
        <v>564</v>
      </c>
      <c r="Y38" s="20" t="s">
        <v>564</v>
      </c>
      <c r="Z38" s="26" t="s">
        <v>3</v>
      </c>
      <c r="AA38" s="29">
        <f>(273.06509-273.06496)/273.06496*10^6</f>
        <v>0.47607719427949335</v>
      </c>
      <c r="AB38" s="29" t="s">
        <v>3</v>
      </c>
      <c r="AC38" s="27">
        <f>(273.065-273.06496)/273.06496*10^6</f>
        <v>0.14648529057956228</v>
      </c>
      <c r="AD38" s="27" t="s">
        <v>3</v>
      </c>
      <c r="AE38" s="21">
        <f>(273.06589-E38)/E38*10^6</f>
        <v>3.3984587156386947</v>
      </c>
      <c r="AF38" s="21" t="s">
        <v>3</v>
      </c>
      <c r="AG38" s="21" t="s">
        <v>3</v>
      </c>
      <c r="AH38" s="21" t="s">
        <v>3</v>
      </c>
      <c r="AI38" s="22" t="s">
        <v>3</v>
      </c>
      <c r="AJ38" s="22" t="s">
        <v>564</v>
      </c>
      <c r="AK38" s="22" t="s">
        <v>3</v>
      </c>
      <c r="AL38" s="22" t="s">
        <v>3</v>
      </c>
      <c r="AM38" s="22" t="s">
        <v>564</v>
      </c>
      <c r="AN38" s="65" t="s">
        <v>564</v>
      </c>
      <c r="AO38" s="65" t="s">
        <v>564</v>
      </c>
      <c r="AP38" s="65" t="s">
        <v>564</v>
      </c>
      <c r="AQ38" s="65" t="s">
        <v>564</v>
      </c>
      <c r="AR38" s="65" t="s">
        <v>564</v>
      </c>
      <c r="AS38" s="46" t="s">
        <v>3</v>
      </c>
      <c r="AT38" s="46" t="s">
        <v>3</v>
      </c>
      <c r="AU38" s="46" t="s">
        <v>3</v>
      </c>
      <c r="AV38" s="46" t="s">
        <v>3</v>
      </c>
      <c r="AW38" s="53">
        <f>(273.065015-E38)/273.065015*10^6</f>
        <v>0.1940929709971016</v>
      </c>
      <c r="AX38" s="53" t="s">
        <v>3</v>
      </c>
      <c r="AY38" s="57" t="s">
        <v>3</v>
      </c>
      <c r="AZ38" s="57" t="s">
        <v>3</v>
      </c>
      <c r="BA38" s="121" t="s">
        <v>3</v>
      </c>
    </row>
    <row r="39" spans="1:53" x14ac:dyDescent="0.25">
      <c r="A39" s="38">
        <v>36</v>
      </c>
      <c r="B39" s="139" t="s">
        <v>6</v>
      </c>
      <c r="C39" s="38" t="s">
        <v>138</v>
      </c>
      <c r="D39" s="38" t="s">
        <v>177</v>
      </c>
      <c r="E39" s="48">
        <v>336.13227899999998</v>
      </c>
      <c r="F39" s="23" t="s">
        <v>3</v>
      </c>
      <c r="G39" s="23" t="s">
        <v>3</v>
      </c>
      <c r="H39" s="23" t="s">
        <v>3</v>
      </c>
      <c r="I39" s="25" t="s">
        <v>3</v>
      </c>
      <c r="J39" s="25" t="s">
        <v>3</v>
      </c>
      <c r="K39" s="117" t="s">
        <v>3</v>
      </c>
      <c r="L39" s="16" t="s">
        <v>3</v>
      </c>
      <c r="M39" s="15">
        <f>(336.13159-E39)/336.13159*10^6</f>
        <v>-2.0497924636174325</v>
      </c>
      <c r="N39" s="15">
        <f>(336.13239-E39)/E39*10^6</f>
        <v>0.33022713657312586</v>
      </c>
      <c r="O39" s="15">
        <f>(336.13211-E39)/336.13211*10^6</f>
        <v>-0.5027785056632047</v>
      </c>
      <c r="P39" s="15">
        <f>(336.13239-E39)/E39*10^6</f>
        <v>0.33022713657312586</v>
      </c>
      <c r="Q39" s="16">
        <f>(336.1329-E39)/E39*10^6</f>
        <v>1.8474869532650313</v>
      </c>
      <c r="R39" s="15">
        <f>(336.13269-E39)/E39*10^6</f>
        <v>1.2227329111773575</v>
      </c>
      <c r="S39" s="15">
        <f>(336.13129-E39)/336.13129*10^6</f>
        <v>-2.9423026937008023</v>
      </c>
      <c r="T39" s="15">
        <f>(336.1322-E39)/336.1322*10^6</f>
        <v>-0.23502657576713692</v>
      </c>
      <c r="U39" s="15">
        <f>(336.13211-E39)/336.13211*10^6</f>
        <v>-0.5027785056632047</v>
      </c>
      <c r="V39" s="16" t="s">
        <v>3</v>
      </c>
      <c r="W39" s="28">
        <f>(336.13229-E39)/E39*10^6</f>
        <v>3.272521181778882E-2</v>
      </c>
      <c r="X39" s="20">
        <f>(336.13239-E39)/E39*10^6</f>
        <v>0.33022713657312586</v>
      </c>
      <c r="Y39" s="20" t="s">
        <v>3</v>
      </c>
      <c r="Z39" s="17" t="s">
        <v>3</v>
      </c>
      <c r="AA39" s="29">
        <f>(336.13211-E39)/336.13211*10^6</f>
        <v>-0.5027785056632047</v>
      </c>
      <c r="AB39" s="18" t="s">
        <v>3</v>
      </c>
      <c r="AC39" s="27">
        <f>(336.13211-E39)/336.13211*10^6</f>
        <v>-0.5027785056632047</v>
      </c>
      <c r="AD39" s="19" t="s">
        <v>3</v>
      </c>
      <c r="AE39" s="21">
        <f>(336.13301-E39)/E39*10^6</f>
        <v>2.1747390705973682</v>
      </c>
      <c r="AF39" s="21" t="s">
        <v>3</v>
      </c>
      <c r="AG39" s="21">
        <f>(336.13189-E39)/336.13189*10^6</f>
        <v>-1.1572838268460857</v>
      </c>
      <c r="AH39" s="21" t="s">
        <v>3</v>
      </c>
      <c r="AI39" s="22" t="s">
        <v>3</v>
      </c>
      <c r="AJ39" s="22" t="s">
        <v>3</v>
      </c>
      <c r="AK39" s="22" t="s">
        <v>3</v>
      </c>
      <c r="AL39" s="22" t="s">
        <v>3</v>
      </c>
      <c r="AM39" s="22" t="s">
        <v>3</v>
      </c>
      <c r="AN39" s="65" t="s">
        <v>3</v>
      </c>
      <c r="AO39" s="65" t="s">
        <v>3</v>
      </c>
      <c r="AP39" s="65" t="s">
        <v>3</v>
      </c>
      <c r="AQ39" s="65" t="s">
        <v>3</v>
      </c>
      <c r="AR39" s="65" t="s">
        <v>3</v>
      </c>
      <c r="AS39" s="46" t="s">
        <v>3</v>
      </c>
      <c r="AT39" s="46" t="s">
        <v>3</v>
      </c>
      <c r="AU39" s="46" t="s">
        <v>3</v>
      </c>
      <c r="AV39" s="46" t="s">
        <v>3</v>
      </c>
      <c r="AW39" s="53" t="s">
        <v>3</v>
      </c>
      <c r="AX39" s="53" t="s">
        <v>3</v>
      </c>
      <c r="AY39" s="57" t="s">
        <v>3</v>
      </c>
      <c r="AZ39" s="57" t="s">
        <v>3</v>
      </c>
      <c r="BA39" s="121" t="s">
        <v>3</v>
      </c>
    </row>
    <row r="40" spans="1:53" x14ac:dyDescent="0.25">
      <c r="A40" s="38">
        <v>37</v>
      </c>
      <c r="B40" s="139" t="s">
        <v>6</v>
      </c>
      <c r="C40" s="38" t="s">
        <v>139</v>
      </c>
      <c r="D40" s="38" t="s">
        <v>177</v>
      </c>
      <c r="E40" s="48">
        <v>317.09117700000002</v>
      </c>
      <c r="F40" s="23" t="s">
        <v>564</v>
      </c>
      <c r="G40" s="23" t="s">
        <v>564</v>
      </c>
      <c r="H40" s="23" t="s">
        <v>564</v>
      </c>
      <c r="I40" s="25" t="s">
        <v>3</v>
      </c>
      <c r="J40" s="25" t="s">
        <v>3</v>
      </c>
      <c r="K40" s="117">
        <v>-2.2200000000000002</v>
      </c>
      <c r="L40" s="15" t="s">
        <v>3</v>
      </c>
      <c r="M40" s="15">
        <f>(317.09-317.09118)/317.09*10^6</f>
        <v>-3.7213409443170318</v>
      </c>
      <c r="N40" s="15">
        <f>(317.09009-317.09118)/317.09009*10^6</f>
        <v>-3.4375088796794064</v>
      </c>
      <c r="O40" s="15">
        <f>(317.09009-317.09118)/317.09009*10^6</f>
        <v>-3.4375088796794064</v>
      </c>
      <c r="P40" s="15">
        <f>(317.09021-317.09118)/317.09021*10^6</f>
        <v>-3.0590663773418059</v>
      </c>
      <c r="Q40" s="15">
        <f>(317.0903-317.09118)/317.093*10^6</f>
        <v>-2.7752110579391753</v>
      </c>
      <c r="R40" s="15">
        <f>(317.08981-317.09118)/317.08981*10^6</f>
        <v>-4.3205424986962875</v>
      </c>
      <c r="S40" s="15">
        <f>(317.0899-317.09118)/317.0899*10^6</f>
        <v>-4.0367100939146452</v>
      </c>
      <c r="T40" s="15">
        <f>(317.08981-317.09118)/317.08981*10^6</f>
        <v>-4.3205424986962875</v>
      </c>
      <c r="U40" s="15">
        <f>(317.09021-317.09118)/317.09021*10^6</f>
        <v>-3.0590663773418059</v>
      </c>
      <c r="V40" s="15" t="s">
        <v>3</v>
      </c>
      <c r="W40" s="20" t="s">
        <v>564</v>
      </c>
      <c r="X40" s="20" t="s">
        <v>564</v>
      </c>
      <c r="Y40" s="20" t="s">
        <v>564</v>
      </c>
      <c r="Z40" s="26" t="s">
        <v>3</v>
      </c>
      <c r="AA40" s="29">
        <f>(317.09119-317.09118)/317.09118*10^6</f>
        <v>3.1536670224483782E-2</v>
      </c>
      <c r="AB40" s="29" t="s">
        <v>3</v>
      </c>
      <c r="AC40" s="27">
        <f>(317.09131-317.09118)/317.09118*10^6</f>
        <v>0.40997671399388047</v>
      </c>
      <c r="AD40" s="27" t="s">
        <v>3</v>
      </c>
      <c r="AE40" s="21">
        <f>(317.09209-E40)/E40*10^6</f>
        <v>2.8792980259070196</v>
      </c>
      <c r="AF40" s="21" t="s">
        <v>3</v>
      </c>
      <c r="AG40" s="21">
        <f>(317.09061-E40)/317.09061*10^6</f>
        <v>-1.7881324205391891</v>
      </c>
      <c r="AH40" s="21" t="s">
        <v>3</v>
      </c>
      <c r="AI40" s="30">
        <v>-1.74</v>
      </c>
      <c r="AJ40" s="22" t="s">
        <v>564</v>
      </c>
      <c r="AK40" s="30">
        <v>0.82</v>
      </c>
      <c r="AL40" s="22" t="s">
        <v>3</v>
      </c>
      <c r="AM40" s="22" t="s">
        <v>564</v>
      </c>
      <c r="AN40" s="65" t="s">
        <v>564</v>
      </c>
      <c r="AO40" s="65" t="s">
        <v>564</v>
      </c>
      <c r="AP40" s="65" t="s">
        <v>564</v>
      </c>
      <c r="AQ40" s="65" t="s">
        <v>564</v>
      </c>
      <c r="AR40" s="65" t="s">
        <v>564</v>
      </c>
      <c r="AS40" s="46" t="s">
        <v>3</v>
      </c>
      <c r="AT40" s="46" t="s">
        <v>3</v>
      </c>
      <c r="AU40" s="46" t="s">
        <v>3</v>
      </c>
      <c r="AV40" s="46" t="s">
        <v>3</v>
      </c>
      <c r="AW40" s="53">
        <f>(317.09094-E40)/317.09094*10^6</f>
        <v>-0.74741965199923444</v>
      </c>
      <c r="AX40" s="53" t="s">
        <v>3</v>
      </c>
      <c r="AY40" s="57" t="s">
        <v>3</v>
      </c>
      <c r="AZ40" s="57" t="s">
        <v>3</v>
      </c>
      <c r="BA40" s="121" t="s">
        <v>3</v>
      </c>
    </row>
    <row r="41" spans="1:53" x14ac:dyDescent="0.25">
      <c r="A41" s="38">
        <v>38</v>
      </c>
      <c r="B41" s="139" t="s">
        <v>7</v>
      </c>
      <c r="C41" s="38" t="s">
        <v>138</v>
      </c>
      <c r="D41" s="38" t="s">
        <v>178</v>
      </c>
      <c r="E41" s="48">
        <v>380.15849400000002</v>
      </c>
      <c r="F41" s="23" t="s">
        <v>3</v>
      </c>
      <c r="G41" s="23" t="s">
        <v>3</v>
      </c>
      <c r="H41" s="23" t="s">
        <v>3</v>
      </c>
      <c r="I41" s="25" t="s">
        <v>3</v>
      </c>
      <c r="J41" s="25" t="s">
        <v>3</v>
      </c>
      <c r="K41" s="117" t="s">
        <v>3</v>
      </c>
      <c r="L41" s="16">
        <f>(380.1582-E41)/380.1582*10^6</f>
        <v>-0.77336224760293415</v>
      </c>
      <c r="M41" s="15">
        <f>(380.15771-E41)/380.15771*10^6</f>
        <v>-2.0623019851684972</v>
      </c>
      <c r="N41" s="15">
        <f>(380.1586-E41)/E41*10^6</f>
        <v>0.2788310708105588</v>
      </c>
      <c r="O41" s="15">
        <f>(380.15479-E41)/380.15479*10^6</f>
        <v>-9.7433995242502753</v>
      </c>
      <c r="P41" s="15">
        <f>(380.15869-E41)/E41*10^6</f>
        <v>0.51557443290980343</v>
      </c>
      <c r="Q41" s="16">
        <f>(380.15909-E41)/E41*10^6</f>
        <v>1.5677671533841187</v>
      </c>
      <c r="R41" s="15">
        <f>(380.15869-E41)/E41*10^6</f>
        <v>0.51557443290980343</v>
      </c>
      <c r="S41" s="15">
        <f>(380.1582-E41)/380.1582*10^6</f>
        <v>-0.77336224760293415</v>
      </c>
      <c r="T41" s="15">
        <f>(380.15829-E41)/380.15829*10^6</f>
        <v>-0.53661857537432711</v>
      </c>
      <c r="U41" s="15">
        <f>(380.15839-E41)/380.15839*10^6</f>
        <v>-0.27357018221179424</v>
      </c>
      <c r="V41" s="16" t="s">
        <v>3</v>
      </c>
      <c r="W41" s="28">
        <f>(380.159-E41)/E41*10^6</f>
        <v>1.3310237912848739</v>
      </c>
      <c r="X41" s="20">
        <f>(380.15869-E41)/E41*10^6</f>
        <v>0.51557443290980343</v>
      </c>
      <c r="Y41" s="20" t="s">
        <v>3</v>
      </c>
      <c r="Z41" s="17" t="s">
        <v>3</v>
      </c>
      <c r="AA41" s="29">
        <f>(380.1586-E41)/E41*10^6</f>
        <v>0.2788310708105588</v>
      </c>
      <c r="AB41" s="18" t="s">
        <v>3</v>
      </c>
      <c r="AC41" s="27">
        <f>(380.15829-E41)/380.15829*10^6</f>
        <v>-0.53661857537432711</v>
      </c>
      <c r="AD41" s="19" t="s">
        <v>3</v>
      </c>
      <c r="AE41" s="21">
        <f>(380.15926-E41)/E41*10^6</f>
        <v>2.0149490596380368</v>
      </c>
      <c r="AF41" s="21" t="s">
        <v>3</v>
      </c>
      <c r="AG41" s="21">
        <f>(380.15868-E41)/E41*10^6</f>
        <v>0.48926961496523208</v>
      </c>
      <c r="AH41" s="21" t="s">
        <v>3</v>
      </c>
      <c r="AI41" s="22" t="s">
        <v>3</v>
      </c>
      <c r="AJ41" s="22" t="s">
        <v>3</v>
      </c>
      <c r="AK41" s="22" t="s">
        <v>3</v>
      </c>
      <c r="AL41" s="22" t="s">
        <v>3</v>
      </c>
      <c r="AM41" s="22" t="s">
        <v>3</v>
      </c>
      <c r="AN41" s="65" t="s">
        <v>3</v>
      </c>
      <c r="AO41" s="65" t="s">
        <v>3</v>
      </c>
      <c r="AP41" s="65" t="s">
        <v>3</v>
      </c>
      <c r="AQ41" s="65" t="s">
        <v>3</v>
      </c>
      <c r="AR41" s="65" t="s">
        <v>3</v>
      </c>
      <c r="AS41" s="46" t="s">
        <v>3</v>
      </c>
      <c r="AT41" s="46" t="s">
        <v>3</v>
      </c>
      <c r="AU41" s="46" t="s">
        <v>3</v>
      </c>
      <c r="AV41" s="46" t="s">
        <v>3</v>
      </c>
      <c r="AW41" s="53">
        <f>(380.15815-E41)/380.15815
*10^6</f>
        <v>-0.90488655850460709</v>
      </c>
      <c r="AX41" s="53" t="s">
        <v>3</v>
      </c>
      <c r="AY41" s="57" t="s">
        <v>3</v>
      </c>
      <c r="AZ41" s="57" t="s">
        <v>3</v>
      </c>
      <c r="BA41" s="121" t="s">
        <v>3</v>
      </c>
    </row>
    <row r="42" spans="1:53" x14ac:dyDescent="0.25">
      <c r="A42" s="38">
        <v>39</v>
      </c>
      <c r="B42" s="139" t="s">
        <v>7</v>
      </c>
      <c r="C42" s="38" t="s">
        <v>139</v>
      </c>
      <c r="D42" s="38" t="s">
        <v>178</v>
      </c>
      <c r="E42" s="48">
        <v>361.117392</v>
      </c>
      <c r="F42" s="23" t="s">
        <v>564</v>
      </c>
      <c r="G42" s="23" t="s">
        <v>564</v>
      </c>
      <c r="H42" s="23" t="s">
        <v>564</v>
      </c>
      <c r="I42" s="25" t="s">
        <v>3</v>
      </c>
      <c r="J42" s="25" t="s">
        <v>3</v>
      </c>
      <c r="K42" s="117">
        <v>-14.28</v>
      </c>
      <c r="L42" s="15" t="s">
        <v>3</v>
      </c>
      <c r="M42" s="15">
        <f>(361.11649-361.11739)/361.11649*10^6</f>
        <v>-2.4922705689830313</v>
      </c>
      <c r="N42" s="15">
        <f>(361.11661-361.11739)/361.11661*10^6</f>
        <v>-2.1599671087414367</v>
      </c>
      <c r="O42" s="15">
        <f>(361.11649-361.11739)/361.11649*10^6</f>
        <v>-2.4922705689830313</v>
      </c>
      <c r="P42" s="15">
        <f>(361.11649-361.11739)/361.11649*10^6</f>
        <v>-2.4922705689830313</v>
      </c>
      <c r="Q42" s="15">
        <f>(361.11649-361.11739)/361.11649*10^6</f>
        <v>-2.4922705689830313</v>
      </c>
      <c r="R42" s="15">
        <f>(361.11649-361.11739)/361.11649*10^6</f>
        <v>-2.4922705689830313</v>
      </c>
      <c r="S42" s="15">
        <f>(361.11639-361.11739)/361.11639*10^6</f>
        <v>-2.7691902878635699</v>
      </c>
      <c r="T42" s="15">
        <f>(361.11581-361.11739)/361.11581*10^6</f>
        <v>-4.3753276822466534</v>
      </c>
      <c r="U42" s="15">
        <f>(361.11639-361.11739)/361.11639*10^6</f>
        <v>-2.7691902878635699</v>
      </c>
      <c r="V42" s="15" t="s">
        <v>3</v>
      </c>
      <c r="W42" s="20" t="s">
        <v>564</v>
      </c>
      <c r="X42" s="20" t="s">
        <v>564</v>
      </c>
      <c r="Y42" s="20" t="s">
        <v>564</v>
      </c>
      <c r="Z42" s="26">
        <f>(361.11649-361.11739)/361.11649*10^6</f>
        <v>-2.4922705689830313</v>
      </c>
      <c r="AA42" s="29">
        <f>(361.11749-361.11739)/361.11739*10^6</f>
        <v>0.27691826188403151</v>
      </c>
      <c r="AB42" s="29" t="s">
        <v>3</v>
      </c>
      <c r="AC42" s="27">
        <f>(361.11761-361.11739)/361.11739*10^6</f>
        <v>0.60922017633376113</v>
      </c>
      <c r="AD42" s="27" t="s">
        <v>3</v>
      </c>
      <c r="AE42" s="21">
        <f>(361.11805-E42)/E42*10^6</f>
        <v>1.8221221535272079</v>
      </c>
      <c r="AF42" s="21" t="s">
        <v>3</v>
      </c>
      <c r="AG42" s="21">
        <f>(361.11849-E42)/E42*10^6</f>
        <v>3.0405624994465623</v>
      </c>
      <c r="AH42" s="21" t="s">
        <v>3</v>
      </c>
      <c r="AI42" s="30">
        <v>-2.61</v>
      </c>
      <c r="AJ42" s="22" t="s">
        <v>564</v>
      </c>
      <c r="AK42" s="30">
        <v>-1.9</v>
      </c>
      <c r="AL42" s="22" t="s">
        <v>3</v>
      </c>
      <c r="AM42" s="22" t="s">
        <v>564</v>
      </c>
      <c r="AN42" s="65" t="s">
        <v>564</v>
      </c>
      <c r="AO42" s="65" t="s">
        <v>564</v>
      </c>
      <c r="AP42" s="65" t="s">
        <v>564</v>
      </c>
      <c r="AQ42" s="65" t="s">
        <v>564</v>
      </c>
      <c r="AR42" s="65" t="s">
        <v>564</v>
      </c>
      <c r="AS42" s="46" t="s">
        <v>3</v>
      </c>
      <c r="AT42" s="46" t="s">
        <v>3</v>
      </c>
      <c r="AU42" s="46" t="s">
        <v>3</v>
      </c>
      <c r="AV42" s="46" t="s">
        <v>3</v>
      </c>
      <c r="AW42" s="53">
        <f>(361.117684-E42)/361.117684*10^6</f>
        <v>0.80860066659525676</v>
      </c>
      <c r="AX42" s="53" t="s">
        <v>3</v>
      </c>
      <c r="AY42" s="57" t="s">
        <v>3</v>
      </c>
      <c r="AZ42" s="57" t="s">
        <v>3</v>
      </c>
      <c r="BA42" s="121" t="s">
        <v>3</v>
      </c>
    </row>
    <row r="43" spans="1:53" x14ac:dyDescent="0.25">
      <c r="A43" s="38">
        <v>40</v>
      </c>
      <c r="B43" s="139" t="s">
        <v>8</v>
      </c>
      <c r="C43" s="38" t="s">
        <v>138</v>
      </c>
      <c r="D43" s="38" t="s">
        <v>179</v>
      </c>
      <c r="E43" s="48">
        <v>424.184708</v>
      </c>
      <c r="F43" s="23" t="s">
        <v>3</v>
      </c>
      <c r="G43" s="23" t="s">
        <v>3</v>
      </c>
      <c r="H43" s="23" t="s">
        <v>3</v>
      </c>
      <c r="I43" s="25" t="s">
        <v>3</v>
      </c>
      <c r="J43" s="25" t="s">
        <v>3</v>
      </c>
      <c r="K43" s="117" t="s">
        <v>3</v>
      </c>
      <c r="L43" s="16">
        <f>(424.18579-E43)/424.18579*10^6</f>
        <v>2.5507690863399661</v>
      </c>
      <c r="M43" s="15">
        <f>(424.1842-E43)/424.1842*10^6</f>
        <v>-1.1975929325628394</v>
      </c>
      <c r="N43" s="15">
        <f>(424.18491-E43)/E43*10^6</f>
        <v>0.47620764301948809</v>
      </c>
      <c r="O43" s="15">
        <f>(424.1853-E43)/424.1853*10^6</f>
        <v>1.3956164911496758</v>
      </c>
      <c r="P43" s="15">
        <f>(424.18439-E43)/424.18439*10^6</f>
        <v>-0.74967398020689779</v>
      </c>
      <c r="Q43" s="16">
        <f>(424.18491-E43)/E43*10^6</f>
        <v>0.47620764301948809</v>
      </c>
      <c r="R43" s="15">
        <f>(424.1842-E43)/424.1842*10^6</f>
        <v>-1.1975929325628394</v>
      </c>
      <c r="S43" s="15">
        <f>(424.1846-E43)/424.1846*10^6</f>
        <v>-0.25460613141434957</v>
      </c>
      <c r="T43" s="15">
        <f>(424.18451-E43)/424.18451*10^6</f>
        <v>-0.46677800660775853</v>
      </c>
      <c r="U43" s="15">
        <f>(424.1843-E43)/424.1843*10^6</f>
        <v>-0.96184606547927531</v>
      </c>
      <c r="V43" s="15">
        <f>(424.1875-E43)/E43*10^6</f>
        <v>6.5820383133648033</v>
      </c>
      <c r="W43" s="28">
        <f>(424.18491-E43)/E43*10^6</f>
        <v>0.47620764301948809</v>
      </c>
      <c r="X43" s="20">
        <f>(424.185-E43)/E43*10^6</f>
        <v>0.68837936515555698</v>
      </c>
      <c r="Y43" s="20" t="s">
        <v>3</v>
      </c>
      <c r="Z43" s="17" t="s">
        <v>3</v>
      </c>
      <c r="AA43" s="29">
        <f>(424.18469-E43)/424.18469*10^6</f>
        <v>-4.2434346254688705E-2</v>
      </c>
      <c r="AB43" s="18" t="s">
        <v>3</v>
      </c>
      <c r="AC43" s="27">
        <f>(424.1846-E43)/424.1846*10^6</f>
        <v>-0.25460613141434957</v>
      </c>
      <c r="AD43" s="19" t="s">
        <v>3</v>
      </c>
      <c r="AE43" s="21">
        <f>(424.18562-E43)/E43*10^6</f>
        <v>2.1500067842406949</v>
      </c>
      <c r="AF43" s="21" t="s">
        <v>3</v>
      </c>
      <c r="AG43" s="21">
        <f>(424.1843-E43)/424.1843*10^6</f>
        <v>-0.96184606547927531</v>
      </c>
      <c r="AH43" s="21" t="s">
        <v>3</v>
      </c>
      <c r="AI43" s="22" t="s">
        <v>3</v>
      </c>
      <c r="AJ43" s="22" t="s">
        <v>3</v>
      </c>
      <c r="AK43" s="22" t="s">
        <v>3</v>
      </c>
      <c r="AL43" s="22" t="s">
        <v>3</v>
      </c>
      <c r="AM43" s="22" t="s">
        <v>3</v>
      </c>
      <c r="AN43" s="65" t="s">
        <v>3</v>
      </c>
      <c r="AO43" s="65" t="s">
        <v>3</v>
      </c>
      <c r="AP43" s="65" t="s">
        <v>3</v>
      </c>
      <c r="AQ43" s="65" t="s">
        <v>3</v>
      </c>
      <c r="AR43" s="65" t="s">
        <v>3</v>
      </c>
      <c r="AS43" s="46" t="s">
        <v>3</v>
      </c>
      <c r="AT43" s="46" t="s">
        <v>3</v>
      </c>
      <c r="AU43" s="46" t="s">
        <v>3</v>
      </c>
      <c r="AV43" s="46" t="s">
        <v>3</v>
      </c>
      <c r="AW43" s="53">
        <f>(424.18387-E43)/424.18387*10^6</f>
        <v>-1.9755583822351843</v>
      </c>
      <c r="AX43" s="53" t="s">
        <v>3</v>
      </c>
      <c r="AY43" s="57">
        <f>(424.18446-E43)/424.18446*10^6</f>
        <v>-0.58465130947781019</v>
      </c>
      <c r="AZ43" s="57" t="s">
        <v>3</v>
      </c>
      <c r="BA43" s="121" t="s">
        <v>3</v>
      </c>
    </row>
    <row r="44" spans="1:53" x14ac:dyDescent="0.25">
      <c r="A44" s="38">
        <v>41</v>
      </c>
      <c r="B44" s="139" t="s">
        <v>8</v>
      </c>
      <c r="C44" s="38" t="s">
        <v>139</v>
      </c>
      <c r="D44" s="38" t="s">
        <v>179</v>
      </c>
      <c r="E44" s="48">
        <v>405.14360599999998</v>
      </c>
      <c r="F44" s="23" t="s">
        <v>564</v>
      </c>
      <c r="G44" s="23" t="s">
        <v>564</v>
      </c>
      <c r="H44" s="23" t="s">
        <v>564</v>
      </c>
      <c r="I44" s="25" t="s">
        <v>3</v>
      </c>
      <c r="J44" s="25" t="s">
        <v>3</v>
      </c>
      <c r="K44" s="117">
        <v>0.4</v>
      </c>
      <c r="L44" s="15" t="s">
        <v>3</v>
      </c>
      <c r="M44" s="15">
        <f>(405.1424-405.14361)/405.1424*10^6</f>
        <v>-2.9866042162325845</v>
      </c>
      <c r="N44" s="15">
        <f>(405.1424-405.14361)/405.1424*10^6</f>
        <v>-2.9866042162325845</v>
      </c>
      <c r="O44" s="15">
        <f>(405.1427-405.14361)/405.1427*10^6</f>
        <v>-2.2461221688877799</v>
      </c>
      <c r="P44" s="15">
        <f>(405.1424-405.14361)/405.1424*10^6</f>
        <v>-2.9866042162325845</v>
      </c>
      <c r="Q44" s="15">
        <f>(405.1424-405.14361)/405.1424*10^6</f>
        <v>-2.9866042162325845</v>
      </c>
      <c r="R44" s="15">
        <f>(405.14221-405.14361)/405.14221*10^6</f>
        <v>-3.4555767468575422</v>
      </c>
      <c r="S44" s="15">
        <f>(405.1424-405.14361)/405.1424*10^6</f>
        <v>-2.9866042162325845</v>
      </c>
      <c r="T44" s="15">
        <f>(405.14191-405.14361)/405.14191*10^6</f>
        <v>-4.1960605853588744</v>
      </c>
      <c r="U44" s="15">
        <f>(405.14221-405.14361)/405.14221*10^6</f>
        <v>-3.4555767468575422</v>
      </c>
      <c r="V44" s="15" t="s">
        <v>3</v>
      </c>
      <c r="W44" s="20" t="s">
        <v>564</v>
      </c>
      <c r="X44" s="20" t="s">
        <v>564</v>
      </c>
      <c r="Y44" s="20" t="s">
        <v>564</v>
      </c>
      <c r="Z44" s="26">
        <f>(405.14249-405.14361)/405.14249*10^6</f>
        <v>-2.7644594868695278</v>
      </c>
      <c r="AA44" s="29">
        <f>(405.14359-405.14361)/405.14359*10^6</f>
        <v>-4.9365213963642546E-2</v>
      </c>
      <c r="AB44" s="29" t="s">
        <v>3</v>
      </c>
      <c r="AC44" s="27">
        <f>(405.14401-405.14361)/405.14361*10^6</f>
        <v>0.98730423011345325</v>
      </c>
      <c r="AD44" s="27" t="s">
        <v>3</v>
      </c>
      <c r="AE44" s="21">
        <f>(405.14449-E44)/E44*10^6</f>
        <v>2.181942370434081</v>
      </c>
      <c r="AF44" s="21" t="s">
        <v>3</v>
      </c>
      <c r="AG44" s="21">
        <f>(405.14397-E44)/E44*10^6</f>
        <v>0.89844685848831218</v>
      </c>
      <c r="AH44" s="21" t="s">
        <v>3</v>
      </c>
      <c r="AI44" s="30">
        <v>1.1499999999999999</v>
      </c>
      <c r="AJ44" s="22" t="s">
        <v>564</v>
      </c>
      <c r="AK44" s="30">
        <v>-2.2000000000000002</v>
      </c>
      <c r="AL44" s="22">
        <v>-6.19</v>
      </c>
      <c r="AM44" s="22" t="s">
        <v>564</v>
      </c>
      <c r="AN44" s="65" t="s">
        <v>564</v>
      </c>
      <c r="AO44" s="65" t="s">
        <v>564</v>
      </c>
      <c r="AP44" s="65" t="s">
        <v>564</v>
      </c>
      <c r="AQ44" s="65" t="s">
        <v>564</v>
      </c>
      <c r="AR44" s="65" t="s">
        <v>564</v>
      </c>
      <c r="AS44" s="46" t="s">
        <v>3</v>
      </c>
      <c r="AT44" s="46" t="s">
        <v>3</v>
      </c>
      <c r="AU44" s="46" t="s">
        <v>3</v>
      </c>
      <c r="AV44" s="46" t="s">
        <v>3</v>
      </c>
      <c r="AW44" s="53">
        <f>(405.143994-E44)/405.143994*10^6</f>
        <v>0.95768419571727803</v>
      </c>
      <c r="AX44" s="53" t="s">
        <v>3</v>
      </c>
      <c r="AY44" s="57" t="s">
        <v>3</v>
      </c>
      <c r="AZ44" s="57" t="s">
        <v>3</v>
      </c>
      <c r="BA44" s="121" t="s">
        <v>3</v>
      </c>
    </row>
    <row r="45" spans="1:53" ht="14.25" customHeight="1" x14ac:dyDescent="0.25">
      <c r="A45" s="38">
        <v>42</v>
      </c>
      <c r="B45" s="139" t="s">
        <v>9</v>
      </c>
      <c r="C45" s="38" t="s">
        <v>138</v>
      </c>
      <c r="D45" s="38" t="s">
        <v>180</v>
      </c>
      <c r="E45" s="48">
        <v>468.21092299999998</v>
      </c>
      <c r="F45" s="23" t="s">
        <v>3</v>
      </c>
      <c r="G45" s="23" t="s">
        <v>3</v>
      </c>
      <c r="H45" s="23" t="s">
        <v>3</v>
      </c>
      <c r="I45" s="25" t="s">
        <v>3</v>
      </c>
      <c r="J45" s="25" t="s">
        <v>3</v>
      </c>
      <c r="K45" s="117" t="s">
        <v>3</v>
      </c>
      <c r="L45" s="16">
        <f>(468.21021-E45)/468.21021*10^6</f>
        <v>-1.5228202733169658</v>
      </c>
      <c r="M45" s="15">
        <f>(468.21039-E45)/468.21039*10^6</f>
        <v>-1.1383771299088494</v>
      </c>
      <c r="N45" s="15">
        <f>(468.21078-E45)/468.21078*10^6</f>
        <v>-0.3054179999444272</v>
      </c>
      <c r="O45" s="15">
        <f>(468.2106-E45)/468.2106*10^6</f>
        <v>-0.68986050290256407</v>
      </c>
      <c r="P45" s="15">
        <f>(468.21051-E45)/468.21051*10^6</f>
        <v>-0.88208186522864851</v>
      </c>
      <c r="Q45" s="16">
        <f>(468.20999-E45)/468.20999*10^6</f>
        <v>-1.9926956278207169</v>
      </c>
      <c r="R45" s="15">
        <f>(468.21121-E45)/E45*10^6</f>
        <v>0.61297160300200659</v>
      </c>
      <c r="S45" s="15">
        <f>(468.21021-E45)/468.21021*10^6</f>
        <v>-1.5228202733169658</v>
      </c>
      <c r="T45" s="15">
        <f>(468.2106-E45)/468.2106*10^6</f>
        <v>-0.68986050290256407</v>
      </c>
      <c r="U45" s="15">
        <f>(468.2106-E45)/468.2106*10^6</f>
        <v>-0.68986050290256407</v>
      </c>
      <c r="V45" s="16">
        <f>(468.20981-E45)/468.20981*10^6</f>
        <v>-2.3771394281022702</v>
      </c>
      <c r="W45" s="20">
        <f>(468.21109-E45)/E45*10^6</f>
        <v>0.35667685615508993</v>
      </c>
      <c r="X45" s="20">
        <f>(468.21109-E45)/E45*10^6</f>
        <v>0.35667685615508993</v>
      </c>
      <c r="Y45" s="20" t="s">
        <v>3</v>
      </c>
      <c r="Z45" s="17" t="s">
        <v>3</v>
      </c>
      <c r="AA45" s="18">
        <f>(468.211-E45)/E45*10^6</f>
        <v>0.16445579598955098</v>
      </c>
      <c r="AB45" s="18" t="s">
        <v>3</v>
      </c>
      <c r="AC45" s="19">
        <f>(468.21078-E45)/468.21078*10^6</f>
        <v>-0.3054179999444272</v>
      </c>
      <c r="AD45" s="19" t="s">
        <v>3</v>
      </c>
      <c r="AE45" s="21">
        <f>(468.21262-E45)/E45*10^6</f>
        <v>3.624434878969252</v>
      </c>
      <c r="AF45" s="21" t="s">
        <v>3</v>
      </c>
      <c r="AG45" s="21">
        <f>(468.21115-E45)/E45*10^6</f>
        <v>0.48482422951784548</v>
      </c>
      <c r="AH45" s="21" t="s">
        <v>3</v>
      </c>
      <c r="AI45" s="22">
        <v>1.51</v>
      </c>
      <c r="AJ45" s="22">
        <v>2.75</v>
      </c>
      <c r="AK45" s="22">
        <v>-2.67</v>
      </c>
      <c r="AL45" s="22" t="s">
        <v>3</v>
      </c>
      <c r="AM45" s="22" t="s">
        <v>3</v>
      </c>
      <c r="AN45" s="65" t="s">
        <v>3</v>
      </c>
      <c r="AO45" s="65" t="s">
        <v>3</v>
      </c>
      <c r="AP45" s="65" t="s">
        <v>3</v>
      </c>
      <c r="AQ45" s="65" t="s">
        <v>3</v>
      </c>
      <c r="AR45" s="65" t="s">
        <v>3</v>
      </c>
      <c r="AS45" s="46" t="s">
        <v>3</v>
      </c>
      <c r="AT45" s="46" t="s">
        <v>3</v>
      </c>
      <c r="AU45" s="46" t="s">
        <v>3</v>
      </c>
      <c r="AV45" s="46" t="s">
        <v>3</v>
      </c>
      <c r="AW45" s="53">
        <f>(468.21071-E45)/468.21071*10^6</f>
        <v>-0.45492338262364279</v>
      </c>
      <c r="AX45" s="53" t="s">
        <v>3</v>
      </c>
      <c r="AY45" s="57">
        <f>(468.21088-E45)/468.21088*10^6</f>
        <v>-9.1838959413165014E-2</v>
      </c>
      <c r="AZ45" s="57" t="s">
        <v>3</v>
      </c>
      <c r="BA45" s="121" t="s">
        <v>3</v>
      </c>
    </row>
    <row r="46" spans="1:53" x14ac:dyDescent="0.25">
      <c r="A46" s="38">
        <v>43</v>
      </c>
      <c r="B46" s="139" t="s">
        <v>9</v>
      </c>
      <c r="C46" s="38" t="s">
        <v>139</v>
      </c>
      <c r="D46" s="38" t="s">
        <v>180</v>
      </c>
      <c r="E46" s="48">
        <v>449.16982100000001</v>
      </c>
      <c r="F46" s="23" t="s">
        <v>564</v>
      </c>
      <c r="G46" s="23" t="s">
        <v>564</v>
      </c>
      <c r="H46" s="23" t="s">
        <v>564</v>
      </c>
      <c r="I46" s="25" t="s">
        <v>3</v>
      </c>
      <c r="J46" s="25" t="s">
        <v>3</v>
      </c>
      <c r="K46" s="117">
        <v>0.43</v>
      </c>
      <c r="L46" s="15" t="s">
        <v>3</v>
      </c>
      <c r="M46" s="15">
        <f>(449.16849-449.16982)/449.16849*10^6</f>
        <v>-2.9610269411281154</v>
      </c>
      <c r="N46" s="15">
        <f>(449.168-449.16982)/449.168*10^6</f>
        <v>-4.0519360239582047</v>
      </c>
      <c r="O46" s="15">
        <f>(449.16849-449.16982)/449.16849*10^6</f>
        <v>-2.9610269411281154</v>
      </c>
      <c r="P46" s="15">
        <f>(449.16849-449.16982)/449.16849*10^6</f>
        <v>-2.9610269411281154</v>
      </c>
      <c r="Q46" s="15">
        <f>(449.16849-449.16982)/449.16849*10^6</f>
        <v>-2.9610269411281154</v>
      </c>
      <c r="R46" s="15">
        <f>(449.1684-449.16982)/449.1684*10^6</f>
        <v>-3.1613978187156082</v>
      </c>
      <c r="S46" s="15">
        <f>(449.1683-449.16982)/449.1683*10^6</f>
        <v>-3.3840322213916729</v>
      </c>
      <c r="T46" s="15">
        <f>(449.168-449.16982)/449.168*10^6</f>
        <v>-4.0519360239582047</v>
      </c>
      <c r="U46" s="15">
        <f>(449.1683-449.16982)/449.1683*10^6</f>
        <v>-3.3840322213916729</v>
      </c>
      <c r="V46" s="15" t="s">
        <v>3</v>
      </c>
      <c r="W46" s="20" t="s">
        <v>564</v>
      </c>
      <c r="X46" s="20" t="s">
        <v>564</v>
      </c>
      <c r="Y46" s="20" t="s">
        <v>564</v>
      </c>
      <c r="Z46" s="26">
        <f>(449.16849-449.16982)/449.16849*10^6</f>
        <v>-2.9610269411281154</v>
      </c>
      <c r="AA46" s="29">
        <f>(449.16989-449.16982)/449.16982*10^6</f>
        <v>0.15584306174844348</v>
      </c>
      <c r="AB46" s="29" t="s">
        <v>3</v>
      </c>
      <c r="AC46" s="27">
        <f>(449.1701-449.16982)/449.16982*10^6</f>
        <v>0.62337224699377392</v>
      </c>
      <c r="AD46" s="27" t="s">
        <v>3</v>
      </c>
      <c r="AE46" s="21">
        <f>(449.17045-E46)/E46*10^6</f>
        <v>1.4003612232967526</v>
      </c>
      <c r="AF46" s="21" t="s">
        <v>3</v>
      </c>
      <c r="AG46" s="21">
        <f>(449.17064-E46)/E46*10^6</f>
        <v>1.823363818511277</v>
      </c>
      <c r="AH46" s="21" t="s">
        <v>3</v>
      </c>
      <c r="AI46" s="30">
        <v>1</v>
      </c>
      <c r="AJ46" s="22" t="s">
        <v>564</v>
      </c>
      <c r="AK46" s="30">
        <v>-1.81</v>
      </c>
      <c r="AL46" s="22">
        <v>-8.6999999999999993</v>
      </c>
      <c r="AM46" s="22" t="s">
        <v>564</v>
      </c>
      <c r="AN46" s="65" t="s">
        <v>564</v>
      </c>
      <c r="AO46" s="65" t="s">
        <v>564</v>
      </c>
      <c r="AP46" s="65" t="s">
        <v>564</v>
      </c>
      <c r="AQ46" s="65" t="s">
        <v>564</v>
      </c>
      <c r="AR46" s="65" t="s">
        <v>564</v>
      </c>
      <c r="AS46" s="46" t="s">
        <v>3</v>
      </c>
      <c r="AT46" s="46" t="s">
        <v>3</v>
      </c>
      <c r="AU46" s="46" t="s">
        <v>3</v>
      </c>
      <c r="AV46" s="46" t="s">
        <v>3</v>
      </c>
      <c r="AW46" s="53" t="s">
        <v>3</v>
      </c>
      <c r="AX46" s="53" t="s">
        <v>3</v>
      </c>
      <c r="AY46" s="57" t="s">
        <v>3</v>
      </c>
      <c r="AZ46" s="57" t="s">
        <v>3</v>
      </c>
      <c r="BA46" s="121" t="s">
        <v>3</v>
      </c>
    </row>
    <row r="47" spans="1:53" x14ac:dyDescent="0.25">
      <c r="A47" s="38">
        <v>44</v>
      </c>
      <c r="B47" s="139" t="s">
        <v>10</v>
      </c>
      <c r="C47" s="38" t="s">
        <v>138</v>
      </c>
      <c r="D47" s="38" t="s">
        <v>181</v>
      </c>
      <c r="E47" s="48">
        <v>512.23713799999996</v>
      </c>
      <c r="F47" s="23" t="s">
        <v>3</v>
      </c>
      <c r="G47" s="23" t="s">
        <v>3</v>
      </c>
      <c r="H47" s="23" t="s">
        <v>3</v>
      </c>
      <c r="I47" s="25" t="s">
        <v>3</v>
      </c>
      <c r="J47" s="25" t="s">
        <v>3</v>
      </c>
      <c r="K47" s="117" t="s">
        <v>3</v>
      </c>
      <c r="L47" s="16">
        <f>(512.23547-E47)/512.23547*10^6</f>
        <v>-3.2563149131299283</v>
      </c>
      <c r="M47" s="15">
        <f>(512.23633-E47)/512.23633*10^6</f>
        <v>-1.5773969019463325</v>
      </c>
      <c r="N47" s="15">
        <f>(512.23688-E47)/512.23688*10^6</f>
        <v>-0.50367322227373945</v>
      </c>
      <c r="O47" s="15">
        <f>(512.2356-E47)/512.2356*10^6</f>
        <v>-3.0025246194959427</v>
      </c>
      <c r="P47" s="15">
        <f>(512.23651-E47)/512.23651*10^6</f>
        <v>-1.2259961711945684</v>
      </c>
      <c r="Q47" s="16">
        <f>(512.23608-E47)/512.23608*10^6</f>
        <v>-2.0654538820139421</v>
      </c>
      <c r="R47" s="15">
        <f>(512.23633-E47)/512.23633*10^6</f>
        <v>-1.5773969019463325</v>
      </c>
      <c r="S47" s="15">
        <f>(512.23572-E47)/512.23572*10^6</f>
        <v>-2.7682567704262913</v>
      </c>
      <c r="T47" s="15">
        <f>(512.23657-E47)/512.23657*10^6</f>
        <v>-1.1088626490103584</v>
      </c>
      <c r="U47" s="15">
        <f>(512.23651-E47)/512.23651*10^6</f>
        <v>-1.2259961711945684</v>
      </c>
      <c r="V47" s="16">
        <f>(512.23682-E47)/512.23682*10^6</f>
        <v>-0.62080660268220289</v>
      </c>
      <c r="W47" s="20">
        <f>(512.2373-E47)/E47*10^6</f>
        <v>0.31625977116430143</v>
      </c>
      <c r="X47" s="20">
        <f>(512.23761-E47)/E47*10^6</f>
        <v>0.92144822201249643</v>
      </c>
      <c r="Y47" s="20" t="s">
        <v>3</v>
      </c>
      <c r="Z47" s="17" t="s">
        <v>3</v>
      </c>
      <c r="AA47" s="18">
        <f>(512.2373-E47)/E47*10^6</f>
        <v>0.31625977116430143</v>
      </c>
      <c r="AB47" s="18" t="s">
        <v>3</v>
      </c>
      <c r="AC47" s="19">
        <f>(512.23682-E47)/512.23682*10^6</f>
        <v>-0.62080660268220289</v>
      </c>
      <c r="AD47" s="19" t="s">
        <v>3</v>
      </c>
      <c r="AE47" s="21">
        <f>(512.23853-E47)/E47*10^6</f>
        <v>2.7174913662933786</v>
      </c>
      <c r="AF47" s="21" t="s">
        <v>3</v>
      </c>
      <c r="AG47" s="21">
        <f>(512.23802-E47)/E47*10^6</f>
        <v>1.721858753722189</v>
      </c>
      <c r="AH47" s="21" t="s">
        <v>3</v>
      </c>
      <c r="AI47" s="22">
        <v>2.56</v>
      </c>
      <c r="AJ47" s="22">
        <v>-0.21</v>
      </c>
      <c r="AK47" s="22">
        <v>-2.0499999999999998</v>
      </c>
      <c r="AL47" s="22" t="s">
        <v>3</v>
      </c>
      <c r="AM47" s="22" t="s">
        <v>3</v>
      </c>
      <c r="AN47" s="65" t="s">
        <v>3</v>
      </c>
      <c r="AO47" s="65" t="s">
        <v>3</v>
      </c>
      <c r="AP47" s="65" t="s">
        <v>3</v>
      </c>
      <c r="AQ47" s="65" t="s">
        <v>3</v>
      </c>
      <c r="AR47" s="65" t="s">
        <v>3</v>
      </c>
      <c r="AS47" s="46" t="s">
        <v>3</v>
      </c>
      <c r="AT47" s="46" t="s">
        <v>3</v>
      </c>
      <c r="AU47" s="46" t="s">
        <v>3</v>
      </c>
      <c r="AV47" s="46" t="s">
        <v>3</v>
      </c>
      <c r="AW47" s="53">
        <f>(512.2357-E47)/512.2357*10^6</f>
        <v>-2.8073014044264739</v>
      </c>
      <c r="AX47" s="53" t="s">
        <v>3</v>
      </c>
      <c r="AY47" s="57">
        <f>(512.2369-E47)/512.2369*10^6</f>
        <v>-0.46462876838342171</v>
      </c>
      <c r="AZ47" s="57" t="s">
        <v>3</v>
      </c>
      <c r="BA47" s="121" t="s">
        <v>3</v>
      </c>
    </row>
    <row r="48" spans="1:53" x14ac:dyDescent="0.25">
      <c r="A48" s="38">
        <v>45</v>
      </c>
      <c r="B48" s="139" t="s">
        <v>10</v>
      </c>
      <c r="C48" s="38" t="s">
        <v>139</v>
      </c>
      <c r="D48" s="38" t="s">
        <v>181</v>
      </c>
      <c r="E48" s="48">
        <v>493.19603599999999</v>
      </c>
      <c r="F48" s="23" t="s">
        <v>564</v>
      </c>
      <c r="G48" s="23" t="s">
        <v>564</v>
      </c>
      <c r="H48" s="23" t="s">
        <v>564</v>
      </c>
      <c r="I48" s="25" t="s">
        <v>3</v>
      </c>
      <c r="J48" s="25" t="s">
        <v>3</v>
      </c>
      <c r="K48" s="117">
        <v>1.94</v>
      </c>
      <c r="L48" s="15" t="s">
        <v>3</v>
      </c>
      <c r="M48" s="15">
        <f>(493.1947-493.19604)/493.1947*10^6</f>
        <v>-2.7169797241750304</v>
      </c>
      <c r="N48" s="15">
        <f>(493.19409-493.19604)/493.19409*10^6</f>
        <v>-3.9538186679513072</v>
      </c>
      <c r="O48" s="15">
        <f>(493.1951-493.19604)/493.1951*10^6</f>
        <v>-1.9059394547052642</v>
      </c>
      <c r="P48" s="15">
        <f>(493.1947-493.19604)/493.1947*10^6</f>
        <v>-2.7169797241750304</v>
      </c>
      <c r="Q48" s="15">
        <f>(493.19479-493.19604)/493.19479*10^6</f>
        <v>-2.5344955488488461</v>
      </c>
      <c r="R48" s="15">
        <f>(493.19431-493.19604)/493.19431*10^6</f>
        <v>-3.5077452536082854</v>
      </c>
      <c r="S48" s="15">
        <f>(493.19431-493.19604)/493.19431*10^6</f>
        <v>-3.5077452536082854</v>
      </c>
      <c r="T48" s="15">
        <f>(493.19409-493.19604)/493.19409*10^6</f>
        <v>-3.9538186679513072</v>
      </c>
      <c r="U48" s="15">
        <f>(493.1944-493.19604)/493.1944*10^6</f>
        <v>-3.3252607896784063</v>
      </c>
      <c r="V48" s="15" t="s">
        <v>3</v>
      </c>
      <c r="W48" s="20" t="s">
        <v>564</v>
      </c>
      <c r="X48" s="20" t="s">
        <v>564</v>
      </c>
      <c r="Y48" s="20" t="s">
        <v>564</v>
      </c>
      <c r="Z48" s="26">
        <f>(493.19449-493.19604)/493.19449*10^6</f>
        <v>-3.1427763923494405</v>
      </c>
      <c r="AA48" s="29">
        <f>(493.19641-493.19604)/493.19604*10^6</f>
        <v>0.75020878114142597</v>
      </c>
      <c r="AB48" s="29" t="s">
        <v>3</v>
      </c>
      <c r="AC48" s="27">
        <f>(493.19611-493.19604)/493.19604*10^6</f>
        <v>0.14193139100183619</v>
      </c>
      <c r="AD48" s="27" t="s">
        <v>3</v>
      </c>
      <c r="AE48" s="21">
        <f>(493.19715-E48)/E48*10^6</f>
        <v>2.2587367268085488</v>
      </c>
      <c r="AF48" s="21" t="s">
        <v>3</v>
      </c>
      <c r="AG48" s="21">
        <f>(493.19651-E48)/E48*10^6</f>
        <v>0.96107828408616169</v>
      </c>
      <c r="AH48" s="21" t="s">
        <v>3</v>
      </c>
      <c r="AI48" s="30">
        <v>1.04</v>
      </c>
      <c r="AJ48" s="22" t="s">
        <v>564</v>
      </c>
      <c r="AK48" s="30">
        <v>-0.52</v>
      </c>
      <c r="AL48" s="22">
        <v>-6.06</v>
      </c>
      <c r="AM48" s="22" t="s">
        <v>564</v>
      </c>
      <c r="AN48" s="65" t="s">
        <v>564</v>
      </c>
      <c r="AO48" s="65" t="s">
        <v>564</v>
      </c>
      <c r="AP48" s="65" t="s">
        <v>564</v>
      </c>
      <c r="AQ48" s="65" t="s">
        <v>564</v>
      </c>
      <c r="AR48" s="65" t="s">
        <v>564</v>
      </c>
      <c r="AS48" s="46" t="s">
        <v>3</v>
      </c>
      <c r="AT48" s="46" t="s">
        <v>3</v>
      </c>
      <c r="AU48" s="46" t="s">
        <v>3</v>
      </c>
      <c r="AV48" s="46" t="s">
        <v>3</v>
      </c>
      <c r="AW48" s="53" t="s">
        <v>3</v>
      </c>
      <c r="AX48" s="53" t="s">
        <v>3</v>
      </c>
      <c r="AY48" s="57" t="s">
        <v>3</v>
      </c>
      <c r="AZ48" s="57" t="s">
        <v>3</v>
      </c>
      <c r="BA48" s="121" t="s">
        <v>3</v>
      </c>
    </row>
    <row r="49" spans="1:53" x14ac:dyDescent="0.25">
      <c r="A49" s="38">
        <v>46</v>
      </c>
      <c r="B49" s="139" t="s">
        <v>11</v>
      </c>
      <c r="C49" s="38" t="s">
        <v>138</v>
      </c>
      <c r="D49" s="38" t="s">
        <v>182</v>
      </c>
      <c r="E49" s="48">
        <v>556.26335300000005</v>
      </c>
      <c r="F49" s="23" t="s">
        <v>3</v>
      </c>
      <c r="G49" s="23" t="s">
        <v>3</v>
      </c>
      <c r="H49" s="23" t="s">
        <v>3</v>
      </c>
      <c r="I49" s="25" t="s">
        <v>3</v>
      </c>
      <c r="J49" s="25" t="s">
        <v>3</v>
      </c>
      <c r="K49" s="117" t="s">
        <v>3</v>
      </c>
      <c r="L49" s="15">
        <f>(556.26147-E49)/556.26147*10^6</f>
        <v>-3.385098737866437</v>
      </c>
      <c r="M49" s="15">
        <f>(556.263-E49)/556.263*10^6</f>
        <v>-0.63459191069378218</v>
      </c>
      <c r="N49" s="15">
        <f>(556.26312-E49)/556.26312*10^6</f>
        <v>-0.41886652506075289</v>
      </c>
      <c r="O49" s="15">
        <f>(556.26251-E49)/556.26251*10^6</f>
        <v>-1.5154715352499299</v>
      </c>
      <c r="P49" s="15">
        <f>(556.26282-E49)/556.26282*10^6</f>
        <v>-0.95818016386309324</v>
      </c>
      <c r="Q49" s="16">
        <f>(556.26367-E49)/E49*10^6</f>
        <v>0.56987396039274896</v>
      </c>
      <c r="R49" s="15">
        <f>(556.26318-E49)/556.26318*10^6</f>
        <v>-0.31100386694291776</v>
      </c>
      <c r="S49" s="15">
        <f>(556.26233-E49)/556.26233*10^6</f>
        <v>-1.8390603585038205</v>
      </c>
      <c r="T49" s="15">
        <f>(556.26282-E49)/556.26282*10^6</f>
        <v>-0.95818016386309324</v>
      </c>
      <c r="U49" s="15">
        <f>(556.26257-E49)/556.26257*10^6</f>
        <v>-1.4076086407709909</v>
      </c>
      <c r="V49" s="16">
        <f>(556.26251-E49)/556.26251*10^6</f>
        <v>-1.5154715352499299</v>
      </c>
      <c r="W49" s="20">
        <f>(556.26422-E49)/E49*10^6</f>
        <v>1.5586142701927828</v>
      </c>
      <c r="X49" s="20">
        <f>(556.26367-E49)/E49*10^6</f>
        <v>0.56987396039274896</v>
      </c>
      <c r="Y49" s="20" t="s">
        <v>3</v>
      </c>
      <c r="Z49" s="17" t="s">
        <v>3</v>
      </c>
      <c r="AA49" s="18">
        <f>(556.26349-E49)/E49*10^6</f>
        <v>0.24628622262514702</v>
      </c>
      <c r="AB49" s="18" t="s">
        <v>3</v>
      </c>
      <c r="AC49" s="19">
        <f>(556.26312-E49)/556.26312*10^6</f>
        <v>-0.41886652506075289</v>
      </c>
      <c r="AD49" s="19" t="s">
        <v>3</v>
      </c>
      <c r="AE49" s="21">
        <f>(556.26451-E49)/E49*10^6</f>
        <v>2.0799500698386408</v>
      </c>
      <c r="AF49" s="21" t="s">
        <v>3</v>
      </c>
      <c r="AG49" s="21">
        <f>(556.26344-E49)/E49*10^6</f>
        <v>0.15640073973025675</v>
      </c>
      <c r="AH49" s="21" t="s">
        <v>3</v>
      </c>
      <c r="AI49" s="22">
        <v>-0.81</v>
      </c>
      <c r="AJ49" s="22">
        <v>1.52</v>
      </c>
      <c r="AK49" s="22">
        <v>-2.88</v>
      </c>
      <c r="AL49" s="22" t="s">
        <v>3</v>
      </c>
      <c r="AM49" s="22" t="s">
        <v>3</v>
      </c>
      <c r="AN49" s="65" t="s">
        <v>3</v>
      </c>
      <c r="AO49" s="65" t="s">
        <v>3</v>
      </c>
      <c r="AP49" s="65" t="s">
        <v>3</v>
      </c>
      <c r="AQ49" s="65" t="s">
        <v>3</v>
      </c>
      <c r="AR49" s="65" t="s">
        <v>3</v>
      </c>
      <c r="AS49" s="46" t="s">
        <v>3</v>
      </c>
      <c r="AT49" s="46" t="s">
        <v>3</v>
      </c>
      <c r="AU49" s="46" t="s">
        <v>3</v>
      </c>
      <c r="AV49" s="46" t="s">
        <v>3</v>
      </c>
      <c r="AW49" s="53" t="s">
        <v>3</v>
      </c>
      <c r="AX49" s="53" t="s">
        <v>3</v>
      </c>
      <c r="AY49" s="57" t="s">
        <v>3</v>
      </c>
      <c r="AZ49" s="57" t="s">
        <v>3</v>
      </c>
      <c r="BA49" s="121" t="s">
        <v>3</v>
      </c>
    </row>
    <row r="50" spans="1:53" x14ac:dyDescent="0.25">
      <c r="A50" s="38">
        <v>47</v>
      </c>
      <c r="B50" s="139" t="s">
        <v>11</v>
      </c>
      <c r="C50" s="38" t="s">
        <v>139</v>
      </c>
      <c r="D50" s="38" t="s">
        <v>182</v>
      </c>
      <c r="E50" s="48">
        <v>537.22225100000003</v>
      </c>
      <c r="F50" s="23" t="s">
        <v>564</v>
      </c>
      <c r="G50" s="23" t="s">
        <v>564</v>
      </c>
      <c r="H50" s="23" t="s">
        <v>564</v>
      </c>
      <c r="I50" s="25" t="s">
        <v>3</v>
      </c>
      <c r="J50" s="25" t="s">
        <v>3</v>
      </c>
      <c r="K50" s="117">
        <v>7.0000000000000007E-2</v>
      </c>
      <c r="L50" s="15" t="s">
        <v>3</v>
      </c>
      <c r="M50" s="15">
        <f>(537.22058-537.22225)/537.22058*10^6</f>
        <v>-3.1085927497231549</v>
      </c>
      <c r="N50" s="15">
        <f>(537.21973-537.22225)/537.21973*10^6</f>
        <v>-4.6908180382803044</v>
      </c>
      <c r="O50" s="15">
        <f>(537.22113-537.22225)/537.22113*10^6</f>
        <v>-2.0848025840205553</v>
      </c>
      <c r="P50" s="15">
        <f>(537.22058-537.22225)/537.22058*10^6</f>
        <v>-3.1085927497231549</v>
      </c>
      <c r="Q50" s="15">
        <f>(537.22113-537.22225)/537.22113*10^6</f>
        <v>-2.0848025840205553</v>
      </c>
      <c r="R50" s="15">
        <f>(537.22052-537.22225)/537.22052*10^6</f>
        <v>-3.2202790765809852</v>
      </c>
      <c r="S50" s="15">
        <f>(537.22058-537.22225)/537.22058*10^6</f>
        <v>-3.1085927497231549</v>
      </c>
      <c r="T50" s="15">
        <f>(537.22021-537.22225)/537.22021*10^6</f>
        <v>-3.797325495403626</v>
      </c>
      <c r="U50" s="15">
        <f>(537.2207-537.22225)/537.2207*10^6</f>
        <v>-2.8852201712734926</v>
      </c>
      <c r="V50" s="15" t="s">
        <v>3</v>
      </c>
      <c r="W50" s="20" t="s">
        <v>564</v>
      </c>
      <c r="X50" s="20" t="s">
        <v>564</v>
      </c>
      <c r="Y50" s="20" t="s">
        <v>564</v>
      </c>
      <c r="Z50" s="26">
        <f>(537.22089-537.22225)/537.22089*10^6</f>
        <v>-2.5315471257585216</v>
      </c>
      <c r="AA50" s="29">
        <f>(537.22223-537.22225)/537.22223*10^6</f>
        <v>-3.7228541460750227E-2</v>
      </c>
      <c r="AB50" s="29" t="s">
        <v>3</v>
      </c>
      <c r="AC50" s="27" t="s">
        <v>3</v>
      </c>
      <c r="AD50" s="27" t="s">
        <v>3</v>
      </c>
      <c r="AE50" s="21">
        <f>(537.22288-E50)/E50*10^6</f>
        <v>1.1708375794798256</v>
      </c>
      <c r="AF50" s="21" t="s">
        <v>3</v>
      </c>
      <c r="AG50" s="21">
        <f>(537.22399-E50)/E50*10^6</f>
        <v>3.2370215431183746</v>
      </c>
      <c r="AH50" s="21" t="s">
        <v>3</v>
      </c>
      <c r="AI50" s="22">
        <v>1.63</v>
      </c>
      <c r="AJ50" s="22" t="s">
        <v>564</v>
      </c>
      <c r="AK50" s="30">
        <v>-0.62</v>
      </c>
      <c r="AL50" s="22">
        <v>4.0999999999999996</v>
      </c>
      <c r="AM50" s="22" t="s">
        <v>564</v>
      </c>
      <c r="AN50" s="65" t="s">
        <v>564</v>
      </c>
      <c r="AO50" s="65" t="s">
        <v>564</v>
      </c>
      <c r="AP50" s="65" t="s">
        <v>564</v>
      </c>
      <c r="AQ50" s="65" t="s">
        <v>564</v>
      </c>
      <c r="AR50" s="65" t="s">
        <v>564</v>
      </c>
      <c r="AS50" s="46" t="s">
        <v>3</v>
      </c>
      <c r="AT50" s="46" t="s">
        <v>3</v>
      </c>
      <c r="AU50" s="46" t="s">
        <v>3</v>
      </c>
      <c r="AV50" s="46" t="s">
        <v>3</v>
      </c>
      <c r="AW50" s="53" t="s">
        <v>3</v>
      </c>
      <c r="AX50" s="53" t="s">
        <v>3</v>
      </c>
      <c r="AY50" s="57" t="s">
        <v>3</v>
      </c>
      <c r="AZ50" s="57" t="s">
        <v>3</v>
      </c>
      <c r="BA50" s="121" t="s">
        <v>3</v>
      </c>
    </row>
    <row r="51" spans="1:53" x14ac:dyDescent="0.25">
      <c r="A51" s="38">
        <v>48</v>
      </c>
      <c r="B51" s="139" t="s">
        <v>12</v>
      </c>
      <c r="C51" s="38" t="s">
        <v>138</v>
      </c>
      <c r="D51" s="38" t="s">
        <v>183</v>
      </c>
      <c r="E51" s="48">
        <v>600.28956700000003</v>
      </c>
      <c r="F51" s="23" t="s">
        <v>3</v>
      </c>
      <c r="G51" s="23" t="s">
        <v>3</v>
      </c>
      <c r="H51" s="23" t="s">
        <v>3</v>
      </c>
      <c r="I51" s="25" t="s">
        <v>3</v>
      </c>
      <c r="J51" s="25" t="s">
        <v>3</v>
      </c>
      <c r="K51" s="117" t="s">
        <v>3</v>
      </c>
      <c r="L51" s="16" t="s">
        <v>3</v>
      </c>
      <c r="M51" s="16">
        <f>(600.28992-E51)/E51*10^6</f>
        <v>0.58804953379817004</v>
      </c>
      <c r="N51" s="15">
        <f>(600.28802-E51)/600.28802*10^6</f>
        <v>-2.5770962413563407</v>
      </c>
      <c r="O51" s="15">
        <f>(600.29138-E51)/E51*10^6</f>
        <v>3.0202090784797671</v>
      </c>
      <c r="P51" s="15">
        <f>(600.28888-E51)/600.2888*10^6</f>
        <v>-1.1444491386220783</v>
      </c>
      <c r="Q51" s="16">
        <f>(600.29041-E51)/E51*10^6</f>
        <v>1.4043222575580638</v>
      </c>
      <c r="R51" s="15">
        <f>(600.28998-E51)/E51*10^6</f>
        <v>0.68800129584870295</v>
      </c>
      <c r="S51" s="15">
        <f>(600.28851-E51)/600.28851*10^6</f>
        <v>-1.7608199764806687</v>
      </c>
      <c r="T51" s="15">
        <f>(600.289-E51)/600.289*10^6</f>
        <v>-0.94454504421435592</v>
      </c>
      <c r="U51" s="15">
        <f>(600.289-E51)/600.289*10^6</f>
        <v>-0.94454504421435592</v>
      </c>
      <c r="V51" s="16" t="s">
        <v>3</v>
      </c>
      <c r="W51" s="20">
        <f>(600.28992-E51)/E51*10^6</f>
        <v>0.58804953379817004</v>
      </c>
      <c r="X51" s="20">
        <f>(600.28992-E51)/E51*10^6</f>
        <v>0.58804953379817004</v>
      </c>
      <c r="Y51" s="20" t="s">
        <v>3</v>
      </c>
      <c r="Z51" s="17" t="s">
        <v>3</v>
      </c>
      <c r="AA51" s="18">
        <f>(600.28992-E51)/E51*10^6</f>
        <v>0.58804953379817004</v>
      </c>
      <c r="AB51" s="18" t="s">
        <v>3</v>
      </c>
      <c r="AC51" s="27" t="s">
        <v>3</v>
      </c>
      <c r="AD51" s="19" t="s">
        <v>3</v>
      </c>
      <c r="AE51" s="21">
        <f>(600.29116-E51)/E51*10^6</f>
        <v>2.6537192840419643</v>
      </c>
      <c r="AF51" s="21" t="s">
        <v>3</v>
      </c>
      <c r="AG51" s="21">
        <f>(600.29124-E51)/E51*10^6</f>
        <v>2.7869883002355995</v>
      </c>
      <c r="AH51" s="21" t="s">
        <v>3</v>
      </c>
      <c r="AI51" s="22">
        <v>-2.2599999999999998</v>
      </c>
      <c r="AJ51" s="22">
        <v>-4.0599999999999996</v>
      </c>
      <c r="AK51" s="22">
        <v>-2.4</v>
      </c>
      <c r="AL51" s="22" t="s">
        <v>3</v>
      </c>
      <c r="AM51" s="22" t="s">
        <v>3</v>
      </c>
      <c r="AN51" s="65" t="s">
        <v>3</v>
      </c>
      <c r="AO51" s="65" t="s">
        <v>3</v>
      </c>
      <c r="AP51" s="65" t="s">
        <v>3</v>
      </c>
      <c r="AQ51" s="65" t="s">
        <v>3</v>
      </c>
      <c r="AR51" s="65" t="s">
        <v>3</v>
      </c>
      <c r="AS51" s="46" t="s">
        <v>3</v>
      </c>
      <c r="AT51" s="46" t="s">
        <v>3</v>
      </c>
      <c r="AU51" s="46" t="s">
        <v>3</v>
      </c>
      <c r="AV51" s="46" t="s">
        <v>3</v>
      </c>
      <c r="AW51" s="53">
        <f>(600.28736-E51)/600.28736*10^6</f>
        <v>-3.6765725002080929</v>
      </c>
      <c r="AX51" s="53" t="s">
        <v>3</v>
      </c>
      <c r="AY51" s="57">
        <f>(600.28904-E51)/600.28904*10^6</f>
        <v>-0.87791041467906028</v>
      </c>
      <c r="AZ51" s="57" t="s">
        <v>3</v>
      </c>
      <c r="BA51" s="121" t="s">
        <v>3</v>
      </c>
    </row>
    <row r="52" spans="1:53" x14ac:dyDescent="0.25">
      <c r="A52" s="38">
        <v>49</v>
      </c>
      <c r="B52" s="139" t="s">
        <v>12</v>
      </c>
      <c r="C52" s="38" t="s">
        <v>139</v>
      </c>
      <c r="D52" s="38" t="s">
        <v>183</v>
      </c>
      <c r="E52" s="48">
        <v>581.24846500000001</v>
      </c>
      <c r="F52" s="23" t="s">
        <v>564</v>
      </c>
      <c r="G52" s="23" t="s">
        <v>564</v>
      </c>
      <c r="H52" s="23" t="s">
        <v>564</v>
      </c>
      <c r="I52" s="25" t="s">
        <v>3</v>
      </c>
      <c r="J52" s="25" t="s">
        <v>3</v>
      </c>
      <c r="K52" s="117">
        <v>1.47</v>
      </c>
      <c r="L52" s="15" t="s">
        <v>3</v>
      </c>
      <c r="M52" s="15">
        <f>(581.24707-581.24847)/581.24707*10^6</f>
        <v>-2.4086142920077545</v>
      </c>
      <c r="N52" s="15">
        <f>(581.24683-581.24847)/581.24683*10^6</f>
        <v>-2.8215207641685098</v>
      </c>
      <c r="O52" s="15">
        <f>(581.24701-581.24847)/581.24701*10^6</f>
        <v>-2.5118408780319283</v>
      </c>
      <c r="P52" s="15">
        <f>(581.24707-581.24847)/581.24707*10^6</f>
        <v>-2.4086142920077545</v>
      </c>
      <c r="Q52" s="15">
        <f>(581.24731-581.24847)/581.24731*10^6</f>
        <v>-1.9957081608294056</v>
      </c>
      <c r="R52" s="15">
        <f>(581.24628-581.24847)/581.24628*10^6</f>
        <v>-3.7677660492578751</v>
      </c>
      <c r="S52" s="15">
        <f>(581.24658-581.24847)/581.24658*10^6</f>
        <v>-3.2516320354143948</v>
      </c>
      <c r="T52" s="15">
        <f>(581.24658-581.24847)/581.24658*10^6</f>
        <v>-3.2516320354143948</v>
      </c>
      <c r="U52" s="15">
        <f>(581.24658-581.24847)/581.24658*10^6</f>
        <v>-3.2516320354143948</v>
      </c>
      <c r="V52" s="15" t="s">
        <v>3</v>
      </c>
      <c r="W52" s="20" t="s">
        <v>564</v>
      </c>
      <c r="X52" s="20" t="s">
        <v>564</v>
      </c>
      <c r="Y52" s="20" t="s">
        <v>564</v>
      </c>
      <c r="Z52" s="26" t="s">
        <v>3</v>
      </c>
      <c r="AA52" s="29">
        <f>(581.24878-581.24847)/581.24847*10^6</f>
        <v>0.5333347372305911</v>
      </c>
      <c r="AB52" s="29" t="s">
        <v>3</v>
      </c>
      <c r="AC52" s="27" t="s">
        <v>3</v>
      </c>
      <c r="AD52" s="27" t="s">
        <v>3</v>
      </c>
      <c r="AE52" s="21">
        <f>(581.24886-E52)/E52*10^6</f>
        <v>0.67957168717151351</v>
      </c>
      <c r="AF52" s="21" t="s">
        <v>3</v>
      </c>
      <c r="AG52" s="21">
        <f>(581.24908-E52)/E52*10^6</f>
        <v>1.0580673104038045</v>
      </c>
      <c r="AH52" s="21" t="s">
        <v>3</v>
      </c>
      <c r="AI52" s="22">
        <v>-1.59</v>
      </c>
      <c r="AJ52" s="22" t="s">
        <v>564</v>
      </c>
      <c r="AK52" s="30">
        <v>-1.1200000000000001</v>
      </c>
      <c r="AL52" s="22">
        <v>-8.48</v>
      </c>
      <c r="AM52" s="22" t="s">
        <v>564</v>
      </c>
      <c r="AN52" s="65" t="s">
        <v>564</v>
      </c>
      <c r="AO52" s="65" t="s">
        <v>564</v>
      </c>
      <c r="AP52" s="65" t="s">
        <v>564</v>
      </c>
      <c r="AQ52" s="65" t="s">
        <v>564</v>
      </c>
      <c r="AR52" s="65" t="s">
        <v>564</v>
      </c>
      <c r="AS52" s="46" t="s">
        <v>3</v>
      </c>
      <c r="AT52" s="46" t="s">
        <v>3</v>
      </c>
      <c r="AU52" s="46" t="s">
        <v>3</v>
      </c>
      <c r="AV52" s="46" t="s">
        <v>3</v>
      </c>
      <c r="AW52" s="53" t="s">
        <v>3</v>
      </c>
      <c r="AX52" s="53" t="s">
        <v>3</v>
      </c>
      <c r="AY52" s="57" t="s">
        <v>3</v>
      </c>
      <c r="AZ52" s="57" t="s">
        <v>3</v>
      </c>
      <c r="BA52" s="121" t="s">
        <v>3</v>
      </c>
    </row>
    <row r="53" spans="1:53" x14ac:dyDescent="0.25">
      <c r="A53" s="38">
        <v>50</v>
      </c>
      <c r="B53" s="139" t="s">
        <v>13</v>
      </c>
      <c r="C53" s="38" t="s">
        <v>138</v>
      </c>
      <c r="D53" s="38" t="s">
        <v>184</v>
      </c>
      <c r="E53" s="48">
        <v>644.31578200000001</v>
      </c>
      <c r="F53" s="23" t="s">
        <v>3</v>
      </c>
      <c r="G53" s="23" t="s">
        <v>3</v>
      </c>
      <c r="H53" s="23" t="s">
        <v>3</v>
      </c>
      <c r="I53" s="25" t="s">
        <v>3</v>
      </c>
      <c r="J53" s="25" t="s">
        <v>3</v>
      </c>
      <c r="K53" s="117" t="s">
        <v>3</v>
      </c>
      <c r="L53" s="16" t="s">
        <v>3</v>
      </c>
      <c r="M53" s="16">
        <f>(644.31628-E53)/E53*10^6</f>
        <v>0.77291293167986697</v>
      </c>
      <c r="N53" s="15">
        <f>(644.31702-E53)/E53*10^6</f>
        <v>1.9214180911432261</v>
      </c>
      <c r="O53" s="15">
        <f>(644.31482-E53)/644.31482*10^6</f>
        <v>-1.4930589365593159</v>
      </c>
      <c r="P53" s="15">
        <f>(644.31488-E53)/644.31488*10^6</f>
        <v>-1.399936627253441</v>
      </c>
      <c r="Q53" s="16">
        <f>(644.31738-E53)/E53*10^6</f>
        <v>2.4801503309203081</v>
      </c>
      <c r="R53" s="15">
        <f>(644.31653-E53)/E53*10^6</f>
        <v>1.1609214314270373</v>
      </c>
      <c r="S53" s="15">
        <f>(644.31451-E53)/644.31451*10^6</f>
        <v>-1.9741911445882854</v>
      </c>
      <c r="T53" s="15">
        <f>(644.31512-E53)/644.31512*10^6</f>
        <v>-1.0274475632884623</v>
      </c>
      <c r="U53" s="15">
        <f>(644.31519-E53)/644.31519*10^6</f>
        <v>-0.91880497180777709</v>
      </c>
      <c r="V53" s="16" t="s">
        <v>3</v>
      </c>
      <c r="W53" s="20">
        <f>(644.31653-E53)/E53*10^6</f>
        <v>1.1609214314270373</v>
      </c>
      <c r="X53" s="20">
        <f>(644.31622-E53)/E53*10^6</f>
        <v>0.67979089177583529</v>
      </c>
      <c r="Y53" s="20" t="s">
        <v>3</v>
      </c>
      <c r="Z53" s="17" t="s">
        <v>3</v>
      </c>
      <c r="AA53" s="18">
        <f>(644.31598-E53)/E53*10^6</f>
        <v>0.30730273180681672</v>
      </c>
      <c r="AB53" s="18" t="s">
        <v>3</v>
      </c>
      <c r="AC53" s="27" t="s">
        <v>3</v>
      </c>
      <c r="AD53" s="19" t="s">
        <v>3</v>
      </c>
      <c r="AE53" s="21">
        <f>(644.31623-E53)/E53*10^6</f>
        <v>0.69531123173043297</v>
      </c>
      <c r="AF53" s="21" t="s">
        <v>3</v>
      </c>
      <c r="AG53" s="21">
        <f>(644.31656-E53)/E53*10^6</f>
        <v>1.2074824514672762</v>
      </c>
      <c r="AH53" s="21" t="s">
        <v>3</v>
      </c>
      <c r="AI53" s="22">
        <v>-1.85</v>
      </c>
      <c r="AJ53" s="22" t="s">
        <v>3</v>
      </c>
      <c r="AK53" s="22">
        <v>0.41</v>
      </c>
      <c r="AL53" s="22" t="s">
        <v>3</v>
      </c>
      <c r="AM53" s="22" t="s">
        <v>3</v>
      </c>
      <c r="AN53" s="65" t="s">
        <v>3</v>
      </c>
      <c r="AO53" s="65" t="s">
        <v>3</v>
      </c>
      <c r="AP53" s="65" t="s">
        <v>3</v>
      </c>
      <c r="AQ53" s="65" t="s">
        <v>3</v>
      </c>
      <c r="AR53" s="65" t="s">
        <v>3</v>
      </c>
      <c r="AS53" s="46" t="s">
        <v>3</v>
      </c>
      <c r="AT53" s="46" t="s">
        <v>3</v>
      </c>
      <c r="AU53" s="46" t="s">
        <v>3</v>
      </c>
      <c r="AV53" s="46" t="s">
        <v>3</v>
      </c>
      <c r="AW53" s="53">
        <f>(644.31435-E53)/644.31435*10^6</f>
        <v>-2.2225176267182727</v>
      </c>
      <c r="AX53" s="53" t="s">
        <v>3</v>
      </c>
      <c r="AY53" s="57">
        <f>(644.31502-E53)/644.31502*10^6</f>
        <v>-1.1826513062023778</v>
      </c>
      <c r="AZ53" s="57" t="s">
        <v>3</v>
      </c>
      <c r="BA53" s="121" t="s">
        <v>3</v>
      </c>
    </row>
    <row r="54" spans="1:53" x14ac:dyDescent="0.25">
      <c r="A54" s="38">
        <v>51</v>
      </c>
      <c r="B54" s="139" t="s">
        <v>13</v>
      </c>
      <c r="C54" s="38" t="s">
        <v>139</v>
      </c>
      <c r="D54" s="38" t="s">
        <v>184</v>
      </c>
      <c r="E54" s="48">
        <v>625.27467999999999</v>
      </c>
      <c r="F54" s="23" t="s">
        <v>564</v>
      </c>
      <c r="G54" s="23" t="s">
        <v>564</v>
      </c>
      <c r="H54" s="23" t="s">
        <v>564</v>
      </c>
      <c r="I54" s="25" t="s">
        <v>3</v>
      </c>
      <c r="J54" s="25" t="s">
        <v>3</v>
      </c>
      <c r="K54" s="117">
        <v>3.5504395107713358</v>
      </c>
      <c r="L54" s="15" t="s">
        <v>3</v>
      </c>
      <c r="M54" s="15">
        <f>(625.27289-625.27468)/625.27289*10^6</f>
        <v>-2.862750054665185</v>
      </c>
      <c r="N54" s="15">
        <f>(625.27301-625.27468)/625.27301*10^6</f>
        <v>-2.6708333372490656</v>
      </c>
      <c r="O54" s="15">
        <f>(625.27332-625.27468)/625.27332*10^6</f>
        <v>-2.1750488250113329</v>
      </c>
      <c r="P54" s="15">
        <f>(625.27307-625.27468)/625.27307*10^6</f>
        <v>-2.5748750062558536</v>
      </c>
      <c r="Q54" s="15">
        <f>(625.27283-625.27468)/625.27283*10^6</f>
        <v>-2.9587084409062832</v>
      </c>
      <c r="R54" s="15">
        <f>(625.27289-625.27468)/625.27289*10^6</f>
        <v>-2.862750054665185</v>
      </c>
      <c r="S54" s="15">
        <f>(625.27258-625.27468)/625.27258*10^6</f>
        <v>-3.358535248805075</v>
      </c>
      <c r="T54" s="15">
        <f>(625.27258-625.27468)/625.27258*10^6</f>
        <v>-3.358535248805075</v>
      </c>
      <c r="U54" s="15">
        <f>(625.27289-625.27468)/625.27289*10^6</f>
        <v>-2.862750054665185</v>
      </c>
      <c r="V54" s="15" t="s">
        <v>3</v>
      </c>
      <c r="W54" s="20" t="s">
        <v>564</v>
      </c>
      <c r="X54" s="20" t="s">
        <v>564</v>
      </c>
      <c r="Y54" s="20" t="s">
        <v>564</v>
      </c>
      <c r="Z54" s="26" t="s">
        <v>3</v>
      </c>
      <c r="AA54" s="29">
        <f>(625.27478-625.27468)/625.27468*10^6</f>
        <v>0.15992971277023074</v>
      </c>
      <c r="AB54" s="29" t="s">
        <v>3</v>
      </c>
      <c r="AC54" s="27" t="s">
        <v>3</v>
      </c>
      <c r="AD54" s="27" t="s">
        <v>3</v>
      </c>
      <c r="AE54" s="21">
        <f>(625.27461-E54)/625.27461*10^6</f>
        <v>-0.11195081139941669</v>
      </c>
      <c r="AF54" s="21" t="s">
        <v>3</v>
      </c>
      <c r="AG54" s="21">
        <f>(625.27486-E54)/E54*10^6</f>
        <v>0.28787348305914301</v>
      </c>
      <c r="AH54" s="21" t="s">
        <v>3</v>
      </c>
      <c r="AI54" s="22">
        <v>4.34</v>
      </c>
      <c r="AJ54" s="22" t="s">
        <v>564</v>
      </c>
      <c r="AK54" s="30">
        <v>-4.41</v>
      </c>
      <c r="AL54" s="22">
        <v>-1.63</v>
      </c>
      <c r="AM54" s="22" t="s">
        <v>564</v>
      </c>
      <c r="AN54" s="65" t="s">
        <v>564</v>
      </c>
      <c r="AO54" s="65" t="s">
        <v>564</v>
      </c>
      <c r="AP54" s="65" t="s">
        <v>564</v>
      </c>
      <c r="AQ54" s="65" t="s">
        <v>564</v>
      </c>
      <c r="AR54" s="65" t="s">
        <v>564</v>
      </c>
      <c r="AS54" s="46" t="s">
        <v>3</v>
      </c>
      <c r="AT54" s="46" t="s">
        <v>3</v>
      </c>
      <c r="AU54" s="46" t="s">
        <v>3</v>
      </c>
      <c r="AV54" s="46" t="s">
        <v>3</v>
      </c>
      <c r="AW54" s="53" t="s">
        <v>3</v>
      </c>
      <c r="AX54" s="53" t="s">
        <v>3</v>
      </c>
      <c r="AY54" s="57" t="s">
        <v>3</v>
      </c>
      <c r="AZ54" s="57" t="s">
        <v>3</v>
      </c>
      <c r="BA54" s="121" t="s">
        <v>3</v>
      </c>
    </row>
    <row r="55" spans="1:53" x14ac:dyDescent="0.25">
      <c r="A55" s="38">
        <v>52</v>
      </c>
      <c r="B55" s="139" t="s">
        <v>14</v>
      </c>
      <c r="C55" s="38" t="s">
        <v>138</v>
      </c>
      <c r="D55" s="38" t="s">
        <v>185</v>
      </c>
      <c r="E55" s="48">
        <v>688.34199699999999</v>
      </c>
      <c r="F55" s="23" t="s">
        <v>3</v>
      </c>
      <c r="G55" s="23" t="s">
        <v>3</v>
      </c>
      <c r="H55" s="23" t="s">
        <v>3</v>
      </c>
      <c r="I55" s="25" t="s">
        <v>3</v>
      </c>
      <c r="J55" s="25" t="s">
        <v>3</v>
      </c>
      <c r="K55" s="117" t="s">
        <v>3</v>
      </c>
      <c r="L55" s="16" t="s">
        <v>3</v>
      </c>
      <c r="M55" s="16">
        <f>(688.34412-E55)/E55*10^6</f>
        <v>3.0842226818004566</v>
      </c>
      <c r="N55" s="15">
        <f>(688.34253-E55)/E55*10^6</f>
        <v>0.77432439447472268</v>
      </c>
      <c r="O55" s="15">
        <f>(688.33978-E55)/688.33978*10^6</f>
        <v>-3.2207930797974051</v>
      </c>
      <c r="P55" s="15">
        <f>(688.34003-E55)/688.34003*10^6</f>
        <v>-2.8575993176454131</v>
      </c>
      <c r="Q55" s="16">
        <f>(688.34253-E55)/E55*10^6</f>
        <v>0.77432439447472268</v>
      </c>
      <c r="R55" s="15">
        <f>(688.34137-E55)/688.34137*10^6</f>
        <v>-0.91088524870819965</v>
      </c>
      <c r="S55" s="15">
        <f>(688.34088-E55)/688.34088*10^6</f>
        <v>-1.6227424993587727</v>
      </c>
      <c r="T55" s="15">
        <f>(688.34003-E55)/688.34003*10^6</f>
        <v>-2.8575993176454131</v>
      </c>
      <c r="U55" s="15">
        <f>(688.34119-E55)/688.34119*10^6</f>
        <v>-1.1723837128051047</v>
      </c>
      <c r="V55" s="16" t="s">
        <v>3</v>
      </c>
      <c r="W55" s="28" t="s">
        <v>3</v>
      </c>
      <c r="X55" s="20">
        <f>(688.34308-E55)/E55*10^6</f>
        <v>1.5733458146011858</v>
      </c>
      <c r="Y55" s="20" t="s">
        <v>3</v>
      </c>
      <c r="Z55" s="17" t="s">
        <v>3</v>
      </c>
      <c r="AA55" s="18">
        <f>(688.34222-E55)/E55*10^6</f>
        <v>0.32396686672804204</v>
      </c>
      <c r="AB55" s="18" t="s">
        <v>3</v>
      </c>
      <c r="AC55" s="27" t="s">
        <v>3</v>
      </c>
      <c r="AD55" s="19" t="s">
        <v>3</v>
      </c>
      <c r="AE55" s="21">
        <f>(688.34248-E55)/E55*10^6</f>
        <v>0.70168608356914985</v>
      </c>
      <c r="AF55" s="21" t="s">
        <v>3</v>
      </c>
      <c r="AG55" s="21">
        <f>(688.34045-E55)/688.34045*10^6</f>
        <v>-2.2474343908738081</v>
      </c>
      <c r="AH55" s="21" t="s">
        <v>3</v>
      </c>
      <c r="AI55" s="22">
        <v>-4.0599999999999996</v>
      </c>
      <c r="AJ55" s="22" t="s">
        <v>3</v>
      </c>
      <c r="AK55" s="22">
        <v>-5.95</v>
      </c>
      <c r="AL55" s="22" t="s">
        <v>3</v>
      </c>
      <c r="AM55" s="22" t="s">
        <v>3</v>
      </c>
      <c r="AN55" s="65" t="s">
        <v>3</v>
      </c>
      <c r="AO55" s="65" t="s">
        <v>3</v>
      </c>
      <c r="AP55" s="65" t="s">
        <v>3</v>
      </c>
      <c r="AQ55" s="65" t="s">
        <v>3</v>
      </c>
      <c r="AR55" s="65" t="s">
        <v>3</v>
      </c>
      <c r="AS55" s="46" t="s">
        <v>3</v>
      </c>
      <c r="AT55" s="46" t="s">
        <v>3</v>
      </c>
      <c r="AU55" s="46" t="s">
        <v>3</v>
      </c>
      <c r="AV55" s="46" t="s">
        <v>3</v>
      </c>
      <c r="AW55" s="53" t="s">
        <v>3</v>
      </c>
      <c r="AX55" s="53" t="s">
        <v>3</v>
      </c>
      <c r="AY55" s="57" t="s">
        <v>3</v>
      </c>
      <c r="AZ55" s="57" t="s">
        <v>3</v>
      </c>
      <c r="BA55" s="121" t="s">
        <v>3</v>
      </c>
    </row>
    <row r="56" spans="1:53" x14ac:dyDescent="0.25">
      <c r="A56" s="38">
        <v>53</v>
      </c>
      <c r="B56" s="139" t="s">
        <v>14</v>
      </c>
      <c r="C56" s="38" t="s">
        <v>139</v>
      </c>
      <c r="D56" s="38" t="s">
        <v>185</v>
      </c>
      <c r="E56" s="48">
        <v>669.30089499999997</v>
      </c>
      <c r="F56" s="23" t="s">
        <v>564</v>
      </c>
      <c r="G56" s="23" t="s">
        <v>564</v>
      </c>
      <c r="H56" s="23" t="s">
        <v>564</v>
      </c>
      <c r="I56" s="25" t="s">
        <v>3</v>
      </c>
      <c r="J56" s="25" t="s">
        <v>3</v>
      </c>
      <c r="K56" s="117">
        <v>-1.4492755138020244</v>
      </c>
      <c r="L56" s="15" t="s">
        <v>3</v>
      </c>
      <c r="M56" s="15">
        <f>(669.3009-669.30089)/669.30089*10^6</f>
        <v>1.4940963211258285E-2</v>
      </c>
      <c r="N56" s="15">
        <f>(669.29962-669.30089)/669.29962*10^6</f>
        <v>-1.8975059331077908</v>
      </c>
      <c r="O56" s="15">
        <f>(669.29938-669.30089)/669.29938*10^6</f>
        <v>-2.256090540438394</v>
      </c>
      <c r="P56" s="15">
        <f>(669.29907-669.30089)/669.29907*10^6</f>
        <v>-2.7192627056129259</v>
      </c>
      <c r="Q56" s="15">
        <f>(669.29968-669.30089)/669.29968*10^6</f>
        <v>-1.8078598214996731</v>
      </c>
      <c r="R56" s="15">
        <f>(669.29822-669.30089)/669.29822*10^6</f>
        <v>-3.9892531015044699</v>
      </c>
      <c r="S56" s="15">
        <f>(669.29919-669.30089)/669.29919*10^6</f>
        <v>-2.5399702038008036</v>
      </c>
      <c r="T56" s="15">
        <f>(669.29871-669.30089)/669.29871*10^6</f>
        <v>-3.2571405971378566</v>
      </c>
      <c r="U56" s="15">
        <f>(669.29883-669.30089)/669.29883*10^6</f>
        <v>-3.0778479024512784</v>
      </c>
      <c r="V56" s="15" t="s">
        <v>3</v>
      </c>
      <c r="W56" s="20" t="s">
        <v>564</v>
      </c>
      <c r="X56" s="20" t="s">
        <v>564</v>
      </c>
      <c r="Y56" s="20" t="s">
        <v>564</v>
      </c>
      <c r="Z56" s="26" t="s">
        <v>3</v>
      </c>
      <c r="AA56" s="29">
        <f>(669.30151-669.30089)/669.30089*10^6</f>
        <v>0.92633972147604082</v>
      </c>
      <c r="AB56" s="29" t="s">
        <v>3</v>
      </c>
      <c r="AC56" s="27" t="s">
        <v>3</v>
      </c>
      <c r="AD56" s="27" t="s">
        <v>3</v>
      </c>
      <c r="AE56" s="21">
        <f>(669.30068-E56)/669.30068*10^6</f>
        <v>-0.32123081051094182</v>
      </c>
      <c r="AF56" s="21" t="s">
        <v>3</v>
      </c>
      <c r="AG56" s="21">
        <f>(669.29777-E56)/669.29777*10^6</f>
        <v>-4.6690727804972738</v>
      </c>
      <c r="AH56" s="21" t="s">
        <v>3</v>
      </c>
      <c r="AI56" s="22">
        <v>8.5500000000000007</v>
      </c>
      <c r="AJ56" s="22" t="s">
        <v>564</v>
      </c>
      <c r="AK56" s="30">
        <v>-0.01</v>
      </c>
      <c r="AL56" s="22">
        <v>0</v>
      </c>
      <c r="AM56" s="22" t="s">
        <v>564</v>
      </c>
      <c r="AN56" s="65" t="s">
        <v>564</v>
      </c>
      <c r="AO56" s="65" t="s">
        <v>564</v>
      </c>
      <c r="AP56" s="65" t="s">
        <v>564</v>
      </c>
      <c r="AQ56" s="65" t="s">
        <v>564</v>
      </c>
      <c r="AR56" s="65" t="s">
        <v>564</v>
      </c>
      <c r="AS56" s="46" t="s">
        <v>3</v>
      </c>
      <c r="AT56" s="46" t="s">
        <v>3</v>
      </c>
      <c r="AU56" s="46" t="s">
        <v>3</v>
      </c>
      <c r="AV56" s="46" t="s">
        <v>3</v>
      </c>
      <c r="AW56" s="53" t="s">
        <v>3</v>
      </c>
      <c r="AX56" s="53" t="s">
        <v>3</v>
      </c>
      <c r="AY56" s="57" t="s">
        <v>3</v>
      </c>
      <c r="AZ56" s="57" t="s">
        <v>3</v>
      </c>
      <c r="BA56" s="121" t="s">
        <v>3</v>
      </c>
    </row>
    <row r="57" spans="1:53" x14ac:dyDescent="0.25">
      <c r="A57" s="38">
        <v>54</v>
      </c>
      <c r="B57" s="139" t="s">
        <v>15</v>
      </c>
      <c r="C57" s="38" t="s">
        <v>138</v>
      </c>
      <c r="D57" s="38" t="s">
        <v>186</v>
      </c>
      <c r="E57" s="48">
        <v>732.36821199999997</v>
      </c>
      <c r="F57" s="23" t="s">
        <v>3</v>
      </c>
      <c r="G57" s="23" t="s">
        <v>3</v>
      </c>
      <c r="H57" s="23" t="s">
        <v>3</v>
      </c>
      <c r="I57" s="25" t="s">
        <v>3</v>
      </c>
      <c r="J57" s="25" t="s">
        <v>3</v>
      </c>
      <c r="K57" s="117" t="s">
        <v>3</v>
      </c>
      <c r="L57" s="16" t="s">
        <v>3</v>
      </c>
      <c r="M57" s="16" t="s">
        <v>3</v>
      </c>
      <c r="N57" s="15">
        <f>(732.36938-E57)/E57*10^6</f>
        <v>1.5948261828804517</v>
      </c>
      <c r="O57" s="15">
        <f>(732.36853-E57)/732.36853*10^6</f>
        <v>0.4342076249411414</v>
      </c>
      <c r="P57" s="15">
        <f>(732.36517-E57)/732.36517*10^6</f>
        <v>-4.153665581798089</v>
      </c>
      <c r="Q57" s="16" t="s">
        <v>3</v>
      </c>
      <c r="R57" s="15">
        <f>(732.36652-E57)/732.36652*10^6</f>
        <v>-2.3103186092320596</v>
      </c>
      <c r="S57" s="15">
        <f>(732.36688-E57)/732.36688*10^6</f>
        <v>-1.8187605642870435</v>
      </c>
      <c r="T57" s="15">
        <f>(732.36609-E57)/732.36609*10^6</f>
        <v>-2.8974580185515504</v>
      </c>
      <c r="U57" s="15">
        <f>(732.36719-E57)/732.36719*10^6</f>
        <v>-1.3954748572513309</v>
      </c>
      <c r="V57" s="16" t="s">
        <v>3</v>
      </c>
      <c r="W57" s="28" t="s">
        <v>3</v>
      </c>
      <c r="X57" s="28" t="s">
        <v>3</v>
      </c>
      <c r="Y57" s="20" t="s">
        <v>3</v>
      </c>
      <c r="Z57" s="17" t="s">
        <v>3</v>
      </c>
      <c r="AA57" s="18">
        <f>(732.36859-E57)/E57*10^6</f>
        <v>0.51613381612584697</v>
      </c>
      <c r="AB57" s="18" t="s">
        <v>3</v>
      </c>
      <c r="AC57" s="27" t="s">
        <v>3</v>
      </c>
      <c r="AD57" s="19" t="s">
        <v>3</v>
      </c>
      <c r="AE57" s="21">
        <f>(732.37205-E57)/E57*10^6</f>
        <v>5.240533296075613</v>
      </c>
      <c r="AF57" s="21" t="s">
        <v>3</v>
      </c>
      <c r="AG57" s="21" t="s">
        <v>3</v>
      </c>
      <c r="AH57" s="21" t="s">
        <v>3</v>
      </c>
      <c r="AI57" s="22" t="s">
        <v>3</v>
      </c>
      <c r="AJ57" s="22" t="s">
        <v>3</v>
      </c>
      <c r="AK57" s="22">
        <v>0.64</v>
      </c>
      <c r="AL57" s="22" t="s">
        <v>3</v>
      </c>
      <c r="AM57" s="22" t="s">
        <v>3</v>
      </c>
      <c r="AN57" s="65" t="s">
        <v>3</v>
      </c>
      <c r="AO57" s="65" t="s">
        <v>3</v>
      </c>
      <c r="AP57" s="65" t="s">
        <v>3</v>
      </c>
      <c r="AQ57" s="65" t="s">
        <v>3</v>
      </c>
      <c r="AR57" s="65" t="s">
        <v>3</v>
      </c>
      <c r="AS57" s="46" t="s">
        <v>3</v>
      </c>
      <c r="AT57" s="46" t="s">
        <v>3</v>
      </c>
      <c r="AU57" s="46" t="s">
        <v>3</v>
      </c>
      <c r="AV57" s="46" t="s">
        <v>3</v>
      </c>
      <c r="AW57" s="53" t="s">
        <v>3</v>
      </c>
      <c r="AX57" s="53" t="s">
        <v>3</v>
      </c>
      <c r="AY57" s="57" t="s">
        <v>3</v>
      </c>
      <c r="AZ57" s="57" t="s">
        <v>3</v>
      </c>
      <c r="BA57" s="121" t="s">
        <v>3</v>
      </c>
    </row>
    <row r="58" spans="1:53" x14ac:dyDescent="0.25">
      <c r="A58" s="38">
        <v>55</v>
      </c>
      <c r="B58" s="139" t="s">
        <v>15</v>
      </c>
      <c r="C58" s="38" t="s">
        <v>139</v>
      </c>
      <c r="D58" s="38" t="s">
        <v>186</v>
      </c>
      <c r="E58" s="48">
        <v>713.32710999999995</v>
      </c>
      <c r="F58" s="23" t="s">
        <v>564</v>
      </c>
      <c r="G58" s="23" t="s">
        <v>564</v>
      </c>
      <c r="H58" s="23" t="s">
        <v>564</v>
      </c>
      <c r="I58" s="25" t="s">
        <v>3</v>
      </c>
      <c r="J58" s="25" t="s">
        <v>3</v>
      </c>
      <c r="K58" s="117" t="s">
        <v>3</v>
      </c>
      <c r="L58" s="15" t="s">
        <v>3</v>
      </c>
      <c r="M58" s="15">
        <f>(713.32642-713.32711)/713.32642*10^6</f>
        <v>-0.96729909423966109</v>
      </c>
      <c r="N58" s="15">
        <f>(713.32428-713.32711)/713.32428*10^6</f>
        <v>-3.9673400713396725</v>
      </c>
      <c r="O58" s="15">
        <f>(713.32562-713.32711)/713.32562*10^6</f>
        <v>-2.0888076331672729</v>
      </c>
      <c r="P58" s="15">
        <f>(713.3255-713.32711)/713.3255*10^6</f>
        <v>-2.2570341308619697</v>
      </c>
      <c r="Q58" s="15">
        <f>(713.3252-713.32711)/713.3252*10^6</f>
        <v>-2.677600623043404</v>
      </c>
      <c r="R58" s="15">
        <f>(713.3252-713.32711)/713.3252*10^6</f>
        <v>-2.677600623043404</v>
      </c>
      <c r="S58" s="15">
        <f>(713.3252-713.32711)/713.3252*10^6</f>
        <v>-2.677600623043404</v>
      </c>
      <c r="T58" s="15">
        <f>(713.32483-713.32711)/713.32483*10^6</f>
        <v>-3.1962997838276497</v>
      </c>
      <c r="U58" s="15">
        <f>(713.32483-713.32711)/713.32483*10^6</f>
        <v>-3.1962997838276497</v>
      </c>
      <c r="V58" s="15" t="s">
        <v>3</v>
      </c>
      <c r="W58" s="20" t="s">
        <v>564</v>
      </c>
      <c r="X58" s="20" t="s">
        <v>564</v>
      </c>
      <c r="Y58" s="20" t="s">
        <v>564</v>
      </c>
      <c r="Z58" s="26" t="s">
        <v>3</v>
      </c>
      <c r="AA58" s="29">
        <f>(713.32709-713.32711)/713.32709*10^6</f>
        <v>-2.803762850154037E-2</v>
      </c>
      <c r="AB58" s="29" t="s">
        <v>3</v>
      </c>
      <c r="AC58" s="27" t="s">
        <v>3</v>
      </c>
      <c r="AD58" s="27" t="s">
        <v>3</v>
      </c>
      <c r="AE58" s="21">
        <f>(713.32512-E58)/713.32512*10^6</f>
        <v>-2.7897517473910831</v>
      </c>
      <c r="AF58" s="21" t="s">
        <v>3</v>
      </c>
      <c r="AG58" s="21">
        <f>(713.33141-E58)/E58*10^6</f>
        <v>6.0280899741178775</v>
      </c>
      <c r="AH58" s="21" t="s">
        <v>3</v>
      </c>
      <c r="AI58" s="22" t="s">
        <v>3</v>
      </c>
      <c r="AJ58" s="22" t="s">
        <v>564</v>
      </c>
      <c r="AK58" s="30">
        <v>-5.15</v>
      </c>
      <c r="AL58" s="22">
        <v>-7.21</v>
      </c>
      <c r="AM58" s="22" t="s">
        <v>564</v>
      </c>
      <c r="AN58" s="65" t="s">
        <v>564</v>
      </c>
      <c r="AO58" s="65" t="s">
        <v>564</v>
      </c>
      <c r="AP58" s="65" t="s">
        <v>564</v>
      </c>
      <c r="AQ58" s="65" t="s">
        <v>564</v>
      </c>
      <c r="AR58" s="65" t="s">
        <v>564</v>
      </c>
      <c r="AS58" s="46" t="s">
        <v>3</v>
      </c>
      <c r="AT58" s="46" t="s">
        <v>3</v>
      </c>
      <c r="AU58" s="46" t="s">
        <v>3</v>
      </c>
      <c r="AV58" s="46" t="s">
        <v>3</v>
      </c>
      <c r="AW58" s="53" t="s">
        <v>3</v>
      </c>
      <c r="AX58" s="53" t="s">
        <v>3</v>
      </c>
      <c r="AY58" s="57" t="s">
        <v>3</v>
      </c>
      <c r="AZ58" s="57" t="s">
        <v>3</v>
      </c>
      <c r="BA58" s="121" t="s">
        <v>3</v>
      </c>
    </row>
    <row r="59" spans="1:53" x14ac:dyDescent="0.25">
      <c r="A59" s="38">
        <v>56</v>
      </c>
      <c r="B59" s="139" t="s">
        <v>16</v>
      </c>
      <c r="C59" s="38" t="s">
        <v>138</v>
      </c>
      <c r="D59" s="38" t="s">
        <v>187</v>
      </c>
      <c r="E59" s="48">
        <v>776.39442599999995</v>
      </c>
      <c r="F59" s="23" t="s">
        <v>3</v>
      </c>
      <c r="G59" s="23" t="s">
        <v>3</v>
      </c>
      <c r="H59" s="23" t="s">
        <v>3</v>
      </c>
      <c r="I59" s="25" t="s">
        <v>3</v>
      </c>
      <c r="J59" s="25" t="s">
        <v>3</v>
      </c>
      <c r="K59" s="117" t="s">
        <v>3</v>
      </c>
      <c r="L59" s="16" t="s">
        <v>3</v>
      </c>
      <c r="M59" s="16" t="s">
        <v>3</v>
      </c>
      <c r="N59" s="16">
        <f>(776.39648-E59)/E59*10^6</f>
        <v>2.6455625275750538</v>
      </c>
      <c r="O59" s="16" t="s">
        <v>3</v>
      </c>
      <c r="P59" s="16">
        <f>(776.39221-E59)/776.39221*10^6</f>
        <v>-2.8542275043895571</v>
      </c>
      <c r="Q59" s="16" t="s">
        <v>3</v>
      </c>
      <c r="R59" s="15">
        <f>(776.39539-E59)/E59*10^6</f>
        <v>1.2416369409473897</v>
      </c>
      <c r="S59" s="15">
        <f>(776.39313-E59)/776.39313*10^6</f>
        <v>-1.669257428786298</v>
      </c>
      <c r="T59" s="16">
        <f>(776.39142-E59)/776.39142*10^6</f>
        <v>-3.8717583972191636</v>
      </c>
      <c r="U59" s="15">
        <f>(776.3924-E59)/776.3924*10^6</f>
        <v>-2.6095051935087845</v>
      </c>
      <c r="V59" s="16" t="s">
        <v>3</v>
      </c>
      <c r="W59" s="28" t="s">
        <v>3</v>
      </c>
      <c r="X59" s="28" t="s">
        <v>3</v>
      </c>
      <c r="Y59" s="20" t="s">
        <v>3</v>
      </c>
      <c r="Z59" s="17" t="s">
        <v>3</v>
      </c>
      <c r="AA59" s="18">
        <f>(776.39648-E59)/E59*10^6</f>
        <v>2.6455625275750538</v>
      </c>
      <c r="AB59" s="18" t="s">
        <v>3</v>
      </c>
      <c r="AC59" s="27" t="s">
        <v>3</v>
      </c>
      <c r="AD59" s="19" t="s">
        <v>3</v>
      </c>
      <c r="AE59" s="21" t="s">
        <v>3</v>
      </c>
      <c r="AF59" s="21" t="s">
        <v>3</v>
      </c>
      <c r="AG59" s="21" t="s">
        <v>3</v>
      </c>
      <c r="AH59" s="21" t="s">
        <v>3</v>
      </c>
      <c r="AI59" s="22" t="s">
        <v>3</v>
      </c>
      <c r="AJ59" s="22" t="s">
        <v>3</v>
      </c>
      <c r="AK59" s="22">
        <v>-4.37</v>
      </c>
      <c r="AL59" s="22" t="s">
        <v>3</v>
      </c>
      <c r="AM59" s="22" t="s">
        <v>3</v>
      </c>
      <c r="AN59" s="65" t="s">
        <v>3</v>
      </c>
      <c r="AO59" s="65" t="s">
        <v>3</v>
      </c>
      <c r="AP59" s="65" t="s">
        <v>3</v>
      </c>
      <c r="AQ59" s="65" t="s">
        <v>3</v>
      </c>
      <c r="AR59" s="65" t="s">
        <v>3</v>
      </c>
      <c r="AS59" s="46" t="s">
        <v>3</v>
      </c>
      <c r="AT59" s="46" t="s">
        <v>3</v>
      </c>
      <c r="AU59" s="46" t="s">
        <v>3</v>
      </c>
      <c r="AV59" s="46" t="s">
        <v>3</v>
      </c>
      <c r="AW59" s="53" t="s">
        <v>3</v>
      </c>
      <c r="AX59" s="53" t="s">
        <v>3</v>
      </c>
      <c r="AY59" s="57" t="s">
        <v>3</v>
      </c>
      <c r="AZ59" s="57" t="s">
        <v>3</v>
      </c>
      <c r="BA59" s="121" t="s">
        <v>3</v>
      </c>
    </row>
    <row r="60" spans="1:53" x14ac:dyDescent="0.25">
      <c r="A60" s="38">
        <v>57</v>
      </c>
      <c r="B60" s="139" t="s">
        <v>16</v>
      </c>
      <c r="C60" s="38" t="s">
        <v>139</v>
      </c>
      <c r="D60" s="38" t="s">
        <v>187</v>
      </c>
      <c r="E60" s="48">
        <v>757.35332400000004</v>
      </c>
      <c r="F60" s="23" t="s">
        <v>564</v>
      </c>
      <c r="G60" s="23" t="s">
        <v>564</v>
      </c>
      <c r="H60" s="23" t="s">
        <v>564</v>
      </c>
      <c r="I60" s="25" t="s">
        <v>3</v>
      </c>
      <c r="J60" s="25" t="s">
        <v>3</v>
      </c>
      <c r="K60" s="117" t="s">
        <v>3</v>
      </c>
      <c r="L60" s="15" t="s">
        <v>3</v>
      </c>
      <c r="M60" s="15">
        <f>(757.34998-757.35332)/757.34998*10^6</f>
        <v>-4.4101143306213908</v>
      </c>
      <c r="N60" s="15">
        <f>(757.34979-757.35332)/757.34979*10^6</f>
        <v>-4.6609902672170369</v>
      </c>
      <c r="O60" s="15">
        <f>(757.35101-757.35332)/757.35101*10^6</f>
        <v>-3.0501048649549252</v>
      </c>
      <c r="P60" s="15">
        <f>(757.35168-757.35332)/757.35168*10^6</f>
        <v>-2.1654404992748035</v>
      </c>
      <c r="Q60" s="15">
        <f>(757.35107-757.35332)/757.35107*10^6</f>
        <v>-2.9708811265079986</v>
      </c>
      <c r="R60" s="15">
        <f>(757.35193-757.35332)/757.35193*10^6</f>
        <v>-1.8353422562940842</v>
      </c>
      <c r="S60" s="15">
        <f>(757.3515-757.35332)/757.3515*10^6</f>
        <v>-2.4031113691147401</v>
      </c>
      <c r="T60" s="15">
        <f>(757.34833-757.35332)/757.34833*10^6</f>
        <v>-6.5887779801675936</v>
      </c>
      <c r="U60" s="15">
        <f>(757.35089-757.35332)/757.35089*10^6</f>
        <v>-3.2085523792068544</v>
      </c>
      <c r="V60" s="15" t="s">
        <v>3</v>
      </c>
      <c r="W60" s="20" t="s">
        <v>564</v>
      </c>
      <c r="X60" s="20" t="s">
        <v>564</v>
      </c>
      <c r="Y60" s="20" t="s">
        <v>564</v>
      </c>
      <c r="Z60" s="26" t="s">
        <v>3</v>
      </c>
      <c r="AA60" s="29">
        <f>(757.35419-757.35332)/757.35332*10^6</f>
        <v>1.1487372894377899</v>
      </c>
      <c r="AB60" s="29" t="s">
        <v>3</v>
      </c>
      <c r="AC60" s="27" t="s">
        <v>3</v>
      </c>
      <c r="AD60" s="27" t="s">
        <v>3</v>
      </c>
      <c r="AE60" s="21">
        <f>(757.35088-E60)/757.35088*10^6</f>
        <v>-3.2270379088782062</v>
      </c>
      <c r="AF60" s="21" t="s">
        <v>3</v>
      </c>
      <c r="AG60" s="21">
        <f>(757.35453-E60)/E60*10^6</f>
        <v>1.5923875444837954</v>
      </c>
      <c r="AH60" s="21" t="s">
        <v>3</v>
      </c>
      <c r="AI60" s="22" t="s">
        <v>3</v>
      </c>
      <c r="AJ60" s="22" t="s">
        <v>564</v>
      </c>
      <c r="AK60" s="30">
        <v>2.5299999999999998</v>
      </c>
      <c r="AL60" s="22">
        <v>0.44</v>
      </c>
      <c r="AM60" s="22" t="s">
        <v>564</v>
      </c>
      <c r="AN60" s="65" t="s">
        <v>564</v>
      </c>
      <c r="AO60" s="65" t="s">
        <v>564</v>
      </c>
      <c r="AP60" s="65" t="s">
        <v>564</v>
      </c>
      <c r="AQ60" s="65" t="s">
        <v>564</v>
      </c>
      <c r="AR60" s="65" t="s">
        <v>564</v>
      </c>
      <c r="AS60" s="46" t="s">
        <v>3</v>
      </c>
      <c r="AT60" s="46" t="s">
        <v>3</v>
      </c>
      <c r="AU60" s="46" t="s">
        <v>3</v>
      </c>
      <c r="AV60" s="46" t="s">
        <v>3</v>
      </c>
      <c r="AW60" s="53" t="s">
        <v>3</v>
      </c>
      <c r="AX60" s="53" t="s">
        <v>3</v>
      </c>
      <c r="AY60" s="57" t="s">
        <v>3</v>
      </c>
      <c r="AZ60" s="57" t="s">
        <v>3</v>
      </c>
      <c r="BA60" s="121" t="s">
        <v>3</v>
      </c>
    </row>
    <row r="61" spans="1:53" x14ac:dyDescent="0.25">
      <c r="A61" s="38">
        <v>58</v>
      </c>
      <c r="B61" s="139" t="s">
        <v>17</v>
      </c>
      <c r="C61" s="38" t="s">
        <v>138</v>
      </c>
      <c r="D61" s="38" t="s">
        <v>188</v>
      </c>
      <c r="E61" s="48">
        <v>820.42064100000005</v>
      </c>
      <c r="F61" s="23" t="s">
        <v>3</v>
      </c>
      <c r="G61" s="23" t="s">
        <v>3</v>
      </c>
      <c r="H61" s="23" t="s">
        <v>3</v>
      </c>
      <c r="I61" s="25" t="s">
        <v>3</v>
      </c>
      <c r="J61" s="25" t="s">
        <v>3</v>
      </c>
      <c r="K61" s="117" t="s">
        <v>3</v>
      </c>
      <c r="L61" s="16" t="s">
        <v>3</v>
      </c>
      <c r="M61" s="16" t="s">
        <v>3</v>
      </c>
      <c r="N61" s="16" t="s">
        <v>3</v>
      </c>
      <c r="O61" s="16" t="s">
        <v>3</v>
      </c>
      <c r="P61" s="16" t="s">
        <v>3</v>
      </c>
      <c r="Q61" s="16" t="s">
        <v>3</v>
      </c>
      <c r="R61" s="15">
        <f>(820.41821-E61)/820.41821*10^6</f>
        <v>-2.9631229175195957</v>
      </c>
      <c r="S61" s="15">
        <f>(820.41669-E61)/820.41669*10^6</f>
        <v>-4.8158454699759039</v>
      </c>
      <c r="T61" s="15">
        <f>(820.41772-E61)/820.41772*10^6</f>
        <v>-3.5603814115751038</v>
      </c>
      <c r="U61" s="15" t="s">
        <v>3</v>
      </c>
      <c r="V61" s="16" t="s">
        <v>3</v>
      </c>
      <c r="W61" s="28" t="s">
        <v>3</v>
      </c>
      <c r="X61" s="28" t="s">
        <v>3</v>
      </c>
      <c r="Y61" s="20" t="s">
        <v>3</v>
      </c>
      <c r="Z61" s="17" t="s">
        <v>3</v>
      </c>
      <c r="AA61" s="18" t="s">
        <v>3</v>
      </c>
      <c r="AB61" s="18" t="s">
        <v>3</v>
      </c>
      <c r="AC61" s="27" t="s">
        <v>3</v>
      </c>
      <c r="AD61" s="19" t="s">
        <v>3</v>
      </c>
      <c r="AE61" s="21" t="s">
        <v>3</v>
      </c>
      <c r="AF61" s="21" t="s">
        <v>3</v>
      </c>
      <c r="AG61" s="21" t="s">
        <v>3</v>
      </c>
      <c r="AH61" s="21" t="s">
        <v>3</v>
      </c>
      <c r="AI61" s="22" t="s">
        <v>3</v>
      </c>
      <c r="AJ61" s="22" t="s">
        <v>3</v>
      </c>
      <c r="AK61" s="22" t="s">
        <v>3</v>
      </c>
      <c r="AL61" s="22" t="s">
        <v>3</v>
      </c>
      <c r="AM61" s="22" t="s">
        <v>3</v>
      </c>
      <c r="AN61" s="65" t="s">
        <v>3</v>
      </c>
      <c r="AO61" s="65" t="s">
        <v>3</v>
      </c>
      <c r="AP61" s="65" t="s">
        <v>3</v>
      </c>
      <c r="AQ61" s="65" t="s">
        <v>3</v>
      </c>
      <c r="AR61" s="65" t="s">
        <v>3</v>
      </c>
      <c r="AS61" s="46" t="s">
        <v>3</v>
      </c>
      <c r="AT61" s="46" t="s">
        <v>3</v>
      </c>
      <c r="AU61" s="46" t="s">
        <v>3</v>
      </c>
      <c r="AV61" s="46" t="s">
        <v>3</v>
      </c>
      <c r="AW61" s="53" t="s">
        <v>3</v>
      </c>
      <c r="AX61" s="53" t="s">
        <v>3</v>
      </c>
      <c r="AY61" s="57" t="s">
        <v>3</v>
      </c>
      <c r="AZ61" s="57" t="s">
        <v>3</v>
      </c>
      <c r="BA61" s="121" t="s">
        <v>3</v>
      </c>
    </row>
    <row r="62" spans="1:53" x14ac:dyDescent="0.25">
      <c r="A62" s="38">
        <v>59</v>
      </c>
      <c r="B62" s="139" t="s">
        <v>17</v>
      </c>
      <c r="C62" s="38" t="s">
        <v>139</v>
      </c>
      <c r="D62" s="38" t="s">
        <v>188</v>
      </c>
      <c r="E62" s="48">
        <v>801.37953900000002</v>
      </c>
      <c r="F62" s="23" t="s">
        <v>564</v>
      </c>
      <c r="G62" s="23" t="s">
        <v>564</v>
      </c>
      <c r="H62" s="23" t="s">
        <v>564</v>
      </c>
      <c r="I62" s="25" t="s">
        <v>3</v>
      </c>
      <c r="J62" s="25" t="s">
        <v>3</v>
      </c>
      <c r="K62" s="117" t="s">
        <v>3</v>
      </c>
      <c r="L62" s="15" t="s">
        <v>3</v>
      </c>
      <c r="M62" s="15">
        <f>(801.37592-801.37954)/801.37592*10^6</f>
        <v>-4.5172308148078777</v>
      </c>
      <c r="N62" s="15">
        <f>(801.37592-801.37954)/801.37592*10^6</f>
        <v>-4.5172308148078777</v>
      </c>
      <c r="O62" s="15">
        <f>(801.37842-801.37954)/801.137954*10^6</f>
        <v>-1.3980114091741593</v>
      </c>
      <c r="P62" s="15">
        <f>(801.3775-801.37954)/801.3775*10^6</f>
        <v>-2.5456167660876461</v>
      </c>
      <c r="Q62" s="15">
        <f>(801.37738-801.37954)/801.37738*10^6</f>
        <v>-2.6953593324576901</v>
      </c>
      <c r="R62" s="15">
        <f>(801.37738-801.37954)/801.37738*10^6</f>
        <v>-2.6953593324576901</v>
      </c>
      <c r="S62" s="15">
        <f>(801.37769-801.37954)/801.37769*10^6</f>
        <v>-2.3085244611568352</v>
      </c>
      <c r="T62" s="15">
        <f>(801.37567-801.37954)/801.37567*10^6</f>
        <v>-4.8291957753175332</v>
      </c>
      <c r="U62" s="15">
        <f>(801.37769-801.37954)/801.37769*10^6</f>
        <v>-2.3085244611568352</v>
      </c>
      <c r="V62" s="15" t="s">
        <v>3</v>
      </c>
      <c r="W62" s="20" t="s">
        <v>564</v>
      </c>
      <c r="X62" s="20" t="s">
        <v>564</v>
      </c>
      <c r="Y62" s="20" t="s">
        <v>564</v>
      </c>
      <c r="Z62" s="26" t="s">
        <v>3</v>
      </c>
      <c r="AA62" s="29">
        <f>(801.38019-801.37954)/801.37954*10^6</f>
        <v>0.81110131655036199</v>
      </c>
      <c r="AB62" s="29" t="s">
        <v>3</v>
      </c>
      <c r="AC62" s="27" t="s">
        <v>3</v>
      </c>
      <c r="AD62" s="27" t="s">
        <v>3</v>
      </c>
      <c r="AE62" s="21">
        <f>(801.38329-E62)/E62*10^6</f>
        <v>4.6806785267394293</v>
      </c>
      <c r="AF62" s="21" t="s">
        <v>3</v>
      </c>
      <c r="AG62" s="21">
        <f>(801.38136-E62)/E62*10^6</f>
        <v>2.272331537466282</v>
      </c>
      <c r="AH62" s="21" t="s">
        <v>3</v>
      </c>
      <c r="AI62" s="22" t="s">
        <v>3</v>
      </c>
      <c r="AJ62" s="22" t="s">
        <v>564</v>
      </c>
      <c r="AK62" s="30">
        <v>0.56000000000000005</v>
      </c>
      <c r="AL62" s="22" t="s">
        <v>3</v>
      </c>
      <c r="AM62" s="22" t="s">
        <v>564</v>
      </c>
      <c r="AN62" s="65" t="s">
        <v>564</v>
      </c>
      <c r="AO62" s="65" t="s">
        <v>564</v>
      </c>
      <c r="AP62" s="65" t="s">
        <v>564</v>
      </c>
      <c r="AQ62" s="65" t="s">
        <v>564</v>
      </c>
      <c r="AR62" s="65" t="s">
        <v>564</v>
      </c>
      <c r="AS62" s="46" t="s">
        <v>3</v>
      </c>
      <c r="AT62" s="46" t="s">
        <v>3</v>
      </c>
      <c r="AU62" s="46" t="s">
        <v>3</v>
      </c>
      <c r="AV62" s="46" t="s">
        <v>3</v>
      </c>
      <c r="AW62" s="53" t="s">
        <v>3</v>
      </c>
      <c r="AX62" s="53" t="s">
        <v>3</v>
      </c>
      <c r="AY62" s="57" t="s">
        <v>3</v>
      </c>
      <c r="AZ62" s="57" t="s">
        <v>3</v>
      </c>
      <c r="BA62" s="121" t="s">
        <v>3</v>
      </c>
    </row>
    <row r="63" spans="1:53" x14ac:dyDescent="0.25">
      <c r="A63" s="38">
        <v>60</v>
      </c>
      <c r="B63" s="139" t="s">
        <v>18</v>
      </c>
      <c r="C63" s="38" t="s">
        <v>139</v>
      </c>
      <c r="D63" s="38" t="s">
        <v>189</v>
      </c>
      <c r="E63" s="48">
        <v>297.15298899999999</v>
      </c>
      <c r="F63" s="23" t="s">
        <v>564</v>
      </c>
      <c r="G63" s="23" t="s">
        <v>564</v>
      </c>
      <c r="H63" s="23" t="s">
        <v>564</v>
      </c>
      <c r="I63" s="24">
        <v>-2.08</v>
      </c>
      <c r="J63" s="25" t="s">
        <v>3</v>
      </c>
      <c r="K63" s="117" t="s">
        <v>3</v>
      </c>
      <c r="L63" s="15">
        <f>(297.15189-297.15299)/297.15189*10^6</f>
        <v>-3.7018105454691694</v>
      </c>
      <c r="M63" s="15">
        <f>(297.1521-297.15299)/297.1521*10^6</f>
        <v>-2.9950991427281153</v>
      </c>
      <c r="N63" s="15">
        <f>(297.15231-297.15299)/297.15231*10^6</f>
        <v>-2.2883887390559665</v>
      </c>
      <c r="O63" s="15">
        <f>(297.1521-297.15299)/297.1521*10^6</f>
        <v>-2.9950991427281153</v>
      </c>
      <c r="P63" s="15">
        <f>(297.15161-297.15299)/297.15161*10^6</f>
        <v>-4.6440939693487895</v>
      </c>
      <c r="Q63" s="15">
        <f>(297.1517-297.152994)/297.1517*10^6</f>
        <v>-4.3546780986716174</v>
      </c>
      <c r="R63" s="15">
        <f>(297.15161-297.15299)/297.15161*10^6</f>
        <v>-4.6440939693487895</v>
      </c>
      <c r="S63" s="15">
        <f>(297.15161-297.15299)/297.15161*10^6</f>
        <v>-4.6440939693487895</v>
      </c>
      <c r="T63" s="15">
        <f>(297.15079-297.15299)/297.15079*10^6</f>
        <v>-7.403648497842422</v>
      </c>
      <c r="U63" s="15">
        <f>(297.1521-297.15299)/297.1521*10^6</f>
        <v>-2.9950991427281153</v>
      </c>
      <c r="V63" s="15">
        <f>(297.15219-297.15299)/297.15219*10^6</f>
        <v>-2.6922231331013031</v>
      </c>
      <c r="W63" s="20" t="s">
        <v>564</v>
      </c>
      <c r="X63" s="20" t="s">
        <v>564</v>
      </c>
      <c r="Y63" s="20" t="s">
        <v>564</v>
      </c>
      <c r="Z63" s="26">
        <f>(297.15189-297.15299)/297.15189*10^6</f>
        <v>-3.7018105454691694</v>
      </c>
      <c r="AA63" s="29">
        <f>(297.15302-297.15299)/297.15299*10^6</f>
        <v>0.10095809582109243</v>
      </c>
      <c r="AB63" s="29">
        <f>(297.15302-297.15299)/297.15299*10^6</f>
        <v>0.10095809582109243</v>
      </c>
      <c r="AC63" s="27">
        <f>(297.1528-297.15299)/297.1528*10^6</f>
        <v>-0.63940168147513154</v>
      </c>
      <c r="AD63" s="27">
        <f>(297.15311-297.15299)/297.15299*10^6</f>
        <v>0.4038323829017828</v>
      </c>
      <c r="AE63" s="21">
        <f>(297.15392-E63)/E63*10^6</f>
        <v>3.1330662470195598</v>
      </c>
      <c r="AF63" s="21">
        <f>(297.15282-E63)/297.15282*10^6</f>
        <v>-0.56873093101125516</v>
      </c>
      <c r="AG63" s="21">
        <f>(297.15418-E63)/E63*10^6</f>
        <v>4.0080364125353469</v>
      </c>
      <c r="AH63" s="21">
        <f>(297.15355-E63)/E63*10^6</f>
        <v>1.8879163958357379</v>
      </c>
      <c r="AI63" s="22">
        <v>-2.71</v>
      </c>
      <c r="AJ63" s="22" t="s">
        <v>564</v>
      </c>
      <c r="AK63" s="30">
        <v>-3.92</v>
      </c>
      <c r="AL63" s="22">
        <v>-3.55</v>
      </c>
      <c r="AM63" s="22" t="s">
        <v>564</v>
      </c>
      <c r="AN63" s="65" t="s">
        <v>564</v>
      </c>
      <c r="AO63" s="65" t="s">
        <v>564</v>
      </c>
      <c r="AP63" s="65" t="s">
        <v>564</v>
      </c>
      <c r="AQ63" s="65" t="s">
        <v>564</v>
      </c>
      <c r="AR63" s="65" t="s">
        <v>564</v>
      </c>
      <c r="AS63" s="46" t="s">
        <v>3</v>
      </c>
      <c r="AT63" s="46" t="s">
        <v>3</v>
      </c>
      <c r="AU63" s="46" t="s">
        <v>3</v>
      </c>
      <c r="AV63" s="46" t="s">
        <v>3</v>
      </c>
      <c r="AW63" s="53">
        <f>(297.153109-E63)/297.153109*10^6</f>
        <v>0.40383222098896576</v>
      </c>
      <c r="AX63" s="53" t="s">
        <v>3</v>
      </c>
      <c r="AY63" s="57">
        <f>(297.152742-E63)/297.152742*10^6</f>
        <v>-0.83122234827522667</v>
      </c>
      <c r="AZ63" s="57" t="s">
        <v>3</v>
      </c>
      <c r="BA63" s="121">
        <f>(297.152405-E63)/297.152405*10^6</f>
        <v>-1.9653214652712321</v>
      </c>
    </row>
    <row r="64" spans="1:53" x14ac:dyDescent="0.25">
      <c r="A64" s="38">
        <v>61</v>
      </c>
      <c r="B64" s="139" t="s">
        <v>19</v>
      </c>
      <c r="C64" s="38" t="s">
        <v>139</v>
      </c>
      <c r="D64" s="38" t="s">
        <v>190</v>
      </c>
      <c r="E64" s="48">
        <v>311.16863899999998</v>
      </c>
      <c r="F64" s="23" t="s">
        <v>564</v>
      </c>
      <c r="G64" s="23" t="s">
        <v>564</v>
      </c>
      <c r="H64" s="23" t="s">
        <v>564</v>
      </c>
      <c r="I64" s="24">
        <v>-0.99</v>
      </c>
      <c r="J64" s="25" t="s">
        <v>3</v>
      </c>
      <c r="K64" s="117" t="s">
        <v>3</v>
      </c>
      <c r="L64" s="15">
        <f>(311.16751-311.16864)/311.16751*10^6</f>
        <v>-3.6314845338100858</v>
      </c>
      <c r="M64" s="15">
        <f>(311.1676-311.16864)/311.1676*10^6</f>
        <v>-3.3422502856629341</v>
      </c>
      <c r="N64" s="15">
        <f>(311.1676-311.16864)/311.1676*10^6</f>
        <v>-3.3422502856629341</v>
      </c>
      <c r="O64" s="15">
        <f>(311.16739-311.16864)/311.16739*10^6</f>
        <v>-4.0171304582091381</v>
      </c>
      <c r="P64" s="15">
        <f>(311.1676-311.16864)/311.1676*10^6</f>
        <v>-3.3422502856629341</v>
      </c>
      <c r="Q64" s="15">
        <f>(311.1673-311.16864)/311.1673*10^6</f>
        <v>-4.3063650967520912</v>
      </c>
      <c r="R64" s="15">
        <f>(311.16739-311.16864)/311.16739*10^6</f>
        <v>-4.0171304582091381</v>
      </c>
      <c r="S64" s="15">
        <f>(311.1673-311.16864)/311.1673*10^6</f>
        <v>-4.3063650967520912</v>
      </c>
      <c r="T64" s="15">
        <f>(311.1665-311.16864)/311.1665*10^6</f>
        <v>-6.8773470151740117</v>
      </c>
      <c r="U64" s="15">
        <f>(311.1676-311.16864)/311.1676*10^6</f>
        <v>-3.3422502856629341</v>
      </c>
      <c r="V64" s="15">
        <f>(311.16739-311.16864)/311.16739*10^6</f>
        <v>-4.0171304582091381</v>
      </c>
      <c r="W64" s="20" t="s">
        <v>564</v>
      </c>
      <c r="X64" s="20" t="s">
        <v>564</v>
      </c>
      <c r="Y64" s="20" t="s">
        <v>564</v>
      </c>
      <c r="Z64" s="26">
        <f>(311.1676-311.16864)/311.1676*10^6</f>
        <v>-3.3422502856629341</v>
      </c>
      <c r="AA64" s="29">
        <f>(311.1687-311.16864)/311.16864*10^6</f>
        <v>0.19282148747073233</v>
      </c>
      <c r="AB64" s="29">
        <f>(311.1687-311.16864)/311.16864*10^6</f>
        <v>0.19282148747073233</v>
      </c>
      <c r="AC64" s="27">
        <f>311.16849-311.16864</f>
        <v>-1.4999999996234692E-4</v>
      </c>
      <c r="AD64" s="27">
        <f>(311.16891-311.16864)/311.16864*10^6</f>
        <v>0.86769669334427979</v>
      </c>
      <c r="AE64" s="21">
        <f>(311.1704-E64)/E64*10^6</f>
        <v>5.6593106736173668</v>
      </c>
      <c r="AF64" s="21">
        <f>(311.16898-E64)/E64*10^6</f>
        <v>1.0958687902726247</v>
      </c>
      <c r="AG64" s="21">
        <f>(311.17004-E64)/E64*10^6</f>
        <v>4.5023817454403146</v>
      </c>
      <c r="AH64" s="21">
        <f>(311.16922-E64)/E64*10^6</f>
        <v>1.8671547424515518</v>
      </c>
      <c r="AI64" s="22">
        <v>-5.56</v>
      </c>
      <c r="AJ64" s="22" t="s">
        <v>564</v>
      </c>
      <c r="AK64" s="30">
        <v>-4.1100000000000003</v>
      </c>
      <c r="AL64" s="22">
        <v>-4.2699999999999996</v>
      </c>
      <c r="AM64" s="22" t="s">
        <v>564</v>
      </c>
      <c r="AN64" s="65" t="s">
        <v>564</v>
      </c>
      <c r="AO64" s="65" t="s">
        <v>564</v>
      </c>
      <c r="AP64" s="65" t="s">
        <v>564</v>
      </c>
      <c r="AQ64" s="65" t="s">
        <v>564</v>
      </c>
      <c r="AR64" s="65" t="s">
        <v>564</v>
      </c>
      <c r="AS64" s="46" t="s">
        <v>3</v>
      </c>
      <c r="AT64" s="46" t="s">
        <v>3</v>
      </c>
      <c r="AU64" s="46" t="s">
        <v>3</v>
      </c>
      <c r="AV64" s="46" t="s">
        <v>3</v>
      </c>
      <c r="AW64" s="53">
        <f>(311.168391-E64)/311.168391*10^6</f>
        <v>-0.79699611905355061</v>
      </c>
      <c r="AX64" s="53">
        <f>(311.16874-E64)/311.16874
*10^6</f>
        <v>0.32458273292238993</v>
      </c>
      <c r="AY64" s="57">
        <f>(311.168415-E64)/311.168415*10^6</f>
        <v>-0.71986740686032857</v>
      </c>
      <c r="AZ64" s="57">
        <f>(311.170675-E64)/311.170675*10^6</f>
        <v>6.543033015666869</v>
      </c>
      <c r="BA64" s="121" t="s">
        <v>3</v>
      </c>
    </row>
    <row r="65" spans="1:53" x14ac:dyDescent="0.25">
      <c r="A65" s="38">
        <v>62</v>
      </c>
      <c r="B65" s="139" t="s">
        <v>20</v>
      </c>
      <c r="C65" s="38" t="s">
        <v>139</v>
      </c>
      <c r="D65" s="38" t="s">
        <v>191</v>
      </c>
      <c r="E65" s="48">
        <v>325.18428899999998</v>
      </c>
      <c r="F65" s="23" t="s">
        <v>564</v>
      </c>
      <c r="G65" s="23" t="s">
        <v>564</v>
      </c>
      <c r="H65" s="23" t="s">
        <v>564</v>
      </c>
      <c r="I65" s="24">
        <v>-1.89</v>
      </c>
      <c r="J65" s="25" t="s">
        <v>3</v>
      </c>
      <c r="K65" s="117" t="s">
        <v>3</v>
      </c>
      <c r="L65" s="15">
        <f>(325.18289-325.18429)/325.18289*10^6</f>
        <v>-4.3052695668878274</v>
      </c>
      <c r="M65" s="15">
        <f>(325.18301-325.18429)/325.18301*10^6</f>
        <v>-3.9362450084693599</v>
      </c>
      <c r="N65" s="15">
        <f>(325.18301-325.18429)/325.18301*10^6</f>
        <v>-3.9362450084693599</v>
      </c>
      <c r="O65" s="15">
        <f>(325.18311-325.18429)/325.18311*10^6</f>
        <v>-3.6287247513459238</v>
      </c>
      <c r="P65" s="15">
        <f>(325.18301-325.18429)/325.18301*10^6</f>
        <v>-3.9362450084693599</v>
      </c>
      <c r="Q65" s="15">
        <f>(325.18289-325.18429)/325.18289*10^6</f>
        <v>-4.3052695668878274</v>
      </c>
      <c r="R65" s="15">
        <f>(325.18301-325.18429)/325.18301*10^6</f>
        <v>-3.9362450084693599</v>
      </c>
      <c r="S65" s="15">
        <f>(325.18289-325.18429)/325.18289*10^6</f>
        <v>-4.3052695668878274</v>
      </c>
      <c r="T65" s="15">
        <f>(325.18259-325.18429)/325.18259*10^6</f>
        <v>-5.2278321541481318</v>
      </c>
      <c r="U65" s="15">
        <f>(325.18289-325.18429)/325.18289*10^6</f>
        <v>-4.3052695668878274</v>
      </c>
      <c r="V65" s="15">
        <f>(325.18311-325.18429)/325.18311*10^6</f>
        <v>-3.6287247513459238</v>
      </c>
      <c r="W65" s="20" t="s">
        <v>564</v>
      </c>
      <c r="X65" s="20" t="s">
        <v>564</v>
      </c>
      <c r="Y65" s="20" t="s">
        <v>564</v>
      </c>
      <c r="Z65" s="26">
        <f>(325.18311-325.18429)/325.18311*10^6</f>
        <v>-3.6287247513459238</v>
      </c>
      <c r="AA65" s="29">
        <f>(325.1843-325.18429)/325.18429*10^6</f>
        <v>3.0751793180401936E-2</v>
      </c>
      <c r="AB65" s="29">
        <f>(325.1842-325.18429)/325.1842*10^6</f>
        <v>-0.27676621434911514</v>
      </c>
      <c r="AC65" s="27">
        <f>(325.1842-325.18429)/325.1842*10^6</f>
        <v>-0.27676621434911514</v>
      </c>
      <c r="AD65" s="27">
        <f>(325.18451-325.18429)/325.18429*10^6</f>
        <v>0.67653944787119824</v>
      </c>
      <c r="AE65" s="21">
        <f>(325.18592-E65)/E65*10^6</f>
        <v>5.0156174673976661</v>
      </c>
      <c r="AF65" s="21">
        <f>(325.18468-E65)/E65*10^6</f>
        <v>1.2023951133629383</v>
      </c>
      <c r="AG65" s="21">
        <f>(325.18581-E65)/E65*10^6</f>
        <v>4.6773477424218264</v>
      </c>
      <c r="AH65" s="21">
        <f>(325.18552-E65)/E65*10^6</f>
        <v>3.785545740244578</v>
      </c>
      <c r="AI65" s="22">
        <v>-5.0199999999999996</v>
      </c>
      <c r="AJ65" s="22" t="s">
        <v>564</v>
      </c>
      <c r="AK65" s="30">
        <v>-3.82</v>
      </c>
      <c r="AL65" s="22">
        <v>-2.56</v>
      </c>
      <c r="AM65" s="22" t="s">
        <v>564</v>
      </c>
      <c r="AN65" s="65" t="s">
        <v>564</v>
      </c>
      <c r="AO65" s="65" t="s">
        <v>564</v>
      </c>
      <c r="AP65" s="65" t="s">
        <v>564</v>
      </c>
      <c r="AQ65" s="65" t="s">
        <v>564</v>
      </c>
      <c r="AR65" s="65" t="s">
        <v>564</v>
      </c>
      <c r="AS65" s="46" t="s">
        <v>3</v>
      </c>
      <c r="AT65" s="46" t="s">
        <v>3</v>
      </c>
      <c r="AU65" s="46" t="s">
        <v>3</v>
      </c>
      <c r="AV65" s="46" t="s">
        <v>3</v>
      </c>
      <c r="AW65" s="53">
        <f>(325.18454-E65)/325.18454*10^6</f>
        <v>0.77186941312894808</v>
      </c>
      <c r="AX65" s="53">
        <f>(325.18457-E65)/325.18457*10^6</f>
        <v>0.86412464167505743</v>
      </c>
      <c r="AY65" s="57" t="s">
        <v>3</v>
      </c>
      <c r="AZ65" s="57" t="s">
        <v>3</v>
      </c>
      <c r="BA65" s="121" t="s">
        <v>3</v>
      </c>
    </row>
    <row r="66" spans="1:53" x14ac:dyDescent="0.25">
      <c r="A66" s="38">
        <v>63</v>
      </c>
      <c r="B66" s="139" t="s">
        <v>21</v>
      </c>
      <c r="C66" s="38" t="s">
        <v>139</v>
      </c>
      <c r="D66" s="38" t="s">
        <v>192</v>
      </c>
      <c r="E66" s="48">
        <v>339.19993899999997</v>
      </c>
      <c r="F66" s="23" t="s">
        <v>564</v>
      </c>
      <c r="G66" s="23" t="s">
        <v>564</v>
      </c>
      <c r="H66" s="23" t="s">
        <v>564</v>
      </c>
      <c r="I66" s="24">
        <v>1.08</v>
      </c>
      <c r="J66" s="25" t="s">
        <v>3</v>
      </c>
      <c r="K66" s="117" t="s">
        <v>3</v>
      </c>
      <c r="L66" s="15">
        <f>(339.19849-339.19994)/339.19849*10^6</f>
        <v>-4.2747831808859882</v>
      </c>
      <c r="M66" s="15">
        <f>(339.19849-339.199994)/339.19849*10^6</f>
        <v>-4.4339820027243464</v>
      </c>
      <c r="N66" s="15">
        <f>(339.19861-339.19994)/339.19861*10^6</f>
        <v>-3.9210066339973451</v>
      </c>
      <c r="O66" s="15">
        <f>(339.19849-339.199994)/339.19849*10^6</f>
        <v>-4.4339820027243464</v>
      </c>
      <c r="P66" s="15">
        <f>(339.19849-339.199994)/339.19849*10^6</f>
        <v>-4.4339820027243464</v>
      </c>
      <c r="Q66" s="15">
        <f>(339.19839-339.19994)/339.19839*10^6</f>
        <v>-4.5695971611446096</v>
      </c>
      <c r="R66" s="15">
        <f>(339.19861-339.19994)/339.19861*10^6</f>
        <v>-3.9210066339973451</v>
      </c>
      <c r="S66" s="15">
        <f>(339.198-339.19994)/339.198*10^6</f>
        <v>-5.7193733455012952</v>
      </c>
      <c r="T66" s="15">
        <f>(339.19861-339.19994)/339.19861*10^6</f>
        <v>-3.9210066339973451</v>
      </c>
      <c r="U66" s="15">
        <f>(339.19849-339.19994)/339.19849*10^6</f>
        <v>-4.2747831808859882</v>
      </c>
      <c r="V66" s="15">
        <f>(339.19821-339.19994)/339.19821*10^6</f>
        <v>-5.1002627637955786</v>
      </c>
      <c r="W66" s="20" t="s">
        <v>564</v>
      </c>
      <c r="X66" s="20" t="s">
        <v>564</v>
      </c>
      <c r="Y66" s="20" t="s">
        <v>564</v>
      </c>
      <c r="Z66" s="26">
        <f>(339.19839-339.19994)/339.19839*10^6</f>
        <v>-4.5695971611446096</v>
      </c>
      <c r="AA66" s="29">
        <f>(339.1998-339.19994)/339.1998*10^6</f>
        <v>-0.41273609254615695</v>
      </c>
      <c r="AB66" s="29">
        <f>(339.19971-339.19994)/339.19971*10^6</f>
        <v>-0.67806661758225983</v>
      </c>
      <c r="AC66" s="27">
        <f>(339.19989-339.19994)/339.19989*10^6</f>
        <v>-0.14740570831049621</v>
      </c>
      <c r="AD66" s="27">
        <f>(339.20001-339.19994)/339.19994*10^6</f>
        <v>0.20636796101378213</v>
      </c>
      <c r="AE66" s="21">
        <f>(339.20156-E66)/E66*10^6</f>
        <v>4.7788923688459004</v>
      </c>
      <c r="AF66" s="21">
        <f>(339.1998-E66)/339.1998*10^6</f>
        <v>-0.40978797744019674</v>
      </c>
      <c r="AG66" s="21">
        <f>(339.19994-E66)/E66*10^6</f>
        <v>2.9481138978585185E-3</v>
      </c>
      <c r="AH66" s="21">
        <f>(339.20052-E66)/E66*10^6</f>
        <v>1.7128540816484195</v>
      </c>
      <c r="AI66" s="22">
        <v>-3.68</v>
      </c>
      <c r="AJ66" s="22" t="s">
        <v>564</v>
      </c>
      <c r="AK66" s="30">
        <v>-5.09</v>
      </c>
      <c r="AL66" s="22">
        <v>-3.16</v>
      </c>
      <c r="AM66" s="22" t="s">
        <v>564</v>
      </c>
      <c r="AN66" s="65" t="s">
        <v>564</v>
      </c>
      <c r="AO66" s="65" t="s">
        <v>564</v>
      </c>
      <c r="AP66" s="65" t="s">
        <v>564</v>
      </c>
      <c r="AQ66" s="65" t="s">
        <v>564</v>
      </c>
      <c r="AR66" s="65" t="s">
        <v>564</v>
      </c>
      <c r="AS66" s="46" t="s">
        <v>3</v>
      </c>
      <c r="AT66" s="46" t="s">
        <v>3</v>
      </c>
      <c r="AU66" s="46" t="s">
        <v>3</v>
      </c>
      <c r="AV66" s="46" t="s">
        <v>3</v>
      </c>
      <c r="AW66" s="53">
        <f>(339.200117-E66)/339.200117*10^6</f>
        <v>0.52476396995270069</v>
      </c>
      <c r="AX66" s="53">
        <f>(339.19975-E66)/339.19975*10^6</f>
        <v>-0.55719380682788899</v>
      </c>
      <c r="AY66" s="57">
        <f>(339.19965-E66)/339.19965*10^6</f>
        <v>-0.8520055959741295</v>
      </c>
      <c r="AZ66" s="57">
        <f>(339.202583-E66)/339.202583*10^6</f>
        <v>7.7947519639968803</v>
      </c>
      <c r="BA66" s="121" t="s">
        <v>3</v>
      </c>
    </row>
    <row r="67" spans="1:53" x14ac:dyDescent="0.25">
      <c r="A67" s="38">
        <v>64</v>
      </c>
      <c r="B67" s="139" t="s">
        <v>22</v>
      </c>
      <c r="C67" s="38" t="s">
        <v>139</v>
      </c>
      <c r="D67" s="38" t="s">
        <v>193</v>
      </c>
      <c r="E67" s="48">
        <v>353.21558900000002</v>
      </c>
      <c r="F67" s="23" t="s">
        <v>564</v>
      </c>
      <c r="G67" s="23" t="s">
        <v>564</v>
      </c>
      <c r="H67" s="23" t="s">
        <v>564</v>
      </c>
      <c r="I67" s="25" t="s">
        <v>3</v>
      </c>
      <c r="J67" s="25" t="s">
        <v>3</v>
      </c>
      <c r="K67" s="117" t="s">
        <v>3</v>
      </c>
      <c r="L67" s="15" t="s">
        <v>3</v>
      </c>
      <c r="M67" s="15" t="s">
        <v>3</v>
      </c>
      <c r="N67" s="15" t="s">
        <v>3</v>
      </c>
      <c r="O67" s="15" t="s">
        <v>3</v>
      </c>
      <c r="P67" s="15" t="s">
        <v>3</v>
      </c>
      <c r="Q67" s="15" t="s">
        <v>3</v>
      </c>
      <c r="R67" s="15" t="s">
        <v>3</v>
      </c>
      <c r="S67" s="15" t="s">
        <v>3</v>
      </c>
      <c r="T67" s="15" t="s">
        <v>3</v>
      </c>
      <c r="U67" s="15" t="s">
        <v>3</v>
      </c>
      <c r="V67" s="15" t="s">
        <v>3</v>
      </c>
      <c r="W67" s="20" t="s">
        <v>564</v>
      </c>
      <c r="X67" s="20" t="s">
        <v>564</v>
      </c>
      <c r="Y67" s="20" t="s">
        <v>564</v>
      </c>
      <c r="Z67" s="26" t="s">
        <v>3</v>
      </c>
      <c r="AA67" s="29" t="s">
        <v>3</v>
      </c>
      <c r="AB67" s="29" t="s">
        <v>3</v>
      </c>
      <c r="AC67" s="27">
        <f>(353.2157-353.21559)/353.21559*10^6</f>
        <v>0.31142453255388242</v>
      </c>
      <c r="AD67" s="27" t="s">
        <v>3</v>
      </c>
      <c r="AE67" s="21">
        <f>(353.21634-E67)/E67*10^6</f>
        <v>2.1261802235453997</v>
      </c>
      <c r="AF67" s="21">
        <f>(353.21537-E67)/353.21537*10^6</f>
        <v>-0.62001831917878414</v>
      </c>
      <c r="AG67" s="21">
        <f>(353.21696-E67)/E67*10^6</f>
        <v>3.8814821390829461</v>
      </c>
      <c r="AH67" s="21" t="s">
        <v>3</v>
      </c>
      <c r="AI67" s="22" t="s">
        <v>3</v>
      </c>
      <c r="AJ67" s="22" t="s">
        <v>564</v>
      </c>
      <c r="AK67" s="30" t="s">
        <v>3</v>
      </c>
      <c r="AL67" s="22" t="s">
        <v>3</v>
      </c>
      <c r="AM67" s="22" t="s">
        <v>564</v>
      </c>
      <c r="AN67" s="65" t="s">
        <v>564</v>
      </c>
      <c r="AO67" s="65" t="s">
        <v>564</v>
      </c>
      <c r="AP67" s="65" t="s">
        <v>564</v>
      </c>
      <c r="AQ67" s="65" t="s">
        <v>564</v>
      </c>
      <c r="AR67" s="65" t="s">
        <v>564</v>
      </c>
      <c r="AS67" s="46" t="s">
        <v>3</v>
      </c>
      <c r="AT67" s="46" t="s">
        <v>3</v>
      </c>
      <c r="AU67" s="46" t="s">
        <v>3</v>
      </c>
      <c r="AV67" s="46" t="s">
        <v>3</v>
      </c>
      <c r="AW67" s="53" t="s">
        <v>3</v>
      </c>
      <c r="AX67" s="53" t="s">
        <v>3</v>
      </c>
      <c r="AY67" s="57" t="s">
        <v>3</v>
      </c>
      <c r="AZ67" s="57" t="s">
        <v>3</v>
      </c>
      <c r="BA67" s="121" t="s">
        <v>3</v>
      </c>
    </row>
    <row r="68" spans="1:53" x14ac:dyDescent="0.25">
      <c r="A68" s="38">
        <v>65</v>
      </c>
      <c r="B68" s="139" t="s">
        <v>0</v>
      </c>
      <c r="C68" s="38" t="s">
        <v>139</v>
      </c>
      <c r="D68" s="38" t="s">
        <v>194</v>
      </c>
      <c r="E68" s="48">
        <v>299.095868</v>
      </c>
      <c r="F68" s="23" t="s">
        <v>564</v>
      </c>
      <c r="G68" s="23" t="s">
        <v>564</v>
      </c>
      <c r="H68" s="23" t="s">
        <v>564</v>
      </c>
      <c r="I68" s="25" t="s">
        <v>3</v>
      </c>
      <c r="J68" s="25" t="s">
        <v>3</v>
      </c>
      <c r="K68" s="117" t="s">
        <v>3</v>
      </c>
      <c r="L68" s="15" t="s">
        <v>3</v>
      </c>
      <c r="M68" s="15">
        <f>(299.09491-299.09587)/299.09491*10^6</f>
        <v>-3.209683508033141</v>
      </c>
      <c r="N68" s="15">
        <f>(299.095-299.09587)/299.095*10^6</f>
        <v>-2.9087748038700445</v>
      </c>
      <c r="O68" s="15">
        <f>(299.095-299.09587)/299.095*10^6</f>
        <v>-2.9087748038700445</v>
      </c>
      <c r="P68" s="15">
        <f>(299.095-299.09587)/299.095*10^6</f>
        <v>-2.9087748038700445</v>
      </c>
      <c r="Q68" s="15">
        <f>(299.09491-299.09587)/299.09491*10^6</f>
        <v>-3.209683508033141</v>
      </c>
      <c r="R68" s="15">
        <f>(299.09479-299.09587)/299.09479*10^6</f>
        <v>-3.6108953954087477</v>
      </c>
      <c r="S68" s="15">
        <f>(299.095-299.09587)/299.095*10^6</f>
        <v>-2.9087748038700445</v>
      </c>
      <c r="T68" s="15">
        <f>(299.09479-299.09587)/299.09479*10^6</f>
        <v>-3.6108953954087477</v>
      </c>
      <c r="U68" s="15">
        <f>(299.09479-299.09587)/299.09479*10^6</f>
        <v>-3.6108953954087477</v>
      </c>
      <c r="V68" s="15">
        <f>(299.095-299.09587)/299.095*10^6</f>
        <v>-2.9087748038700445</v>
      </c>
      <c r="W68" s="20" t="s">
        <v>564</v>
      </c>
      <c r="X68" s="20" t="s">
        <v>564</v>
      </c>
      <c r="Y68" s="20" t="s">
        <v>564</v>
      </c>
      <c r="Z68" s="26">
        <f>(299.09479-299.09587)/299.09479*10^6</f>
        <v>-3.6108953954087477</v>
      </c>
      <c r="AA68" s="29">
        <f>(299.09589-299.09587)/299.09587*10^6</f>
        <v>6.6868191815381048E-2</v>
      </c>
      <c r="AB68" s="29">
        <f>(299.0957-299.09587)/299.0957*10^6</f>
        <v>-0.56837995320125023</v>
      </c>
      <c r="AC68" s="27">
        <f>(299.09589-299.09587)/299.09587*10^6</f>
        <v>6.6868191815381048E-2</v>
      </c>
      <c r="AD68" s="27" t="s">
        <v>3</v>
      </c>
      <c r="AE68" s="21">
        <f>(299.09709-E68)/E68*10^6</f>
        <v>4.0856465458904001</v>
      </c>
      <c r="AF68" s="21">
        <f>(299.09624-E68)/E68*10^6</f>
        <v>1.2437483757787267</v>
      </c>
      <c r="AG68" s="21" t="s">
        <v>3</v>
      </c>
      <c r="AH68" s="21" t="s">
        <v>3</v>
      </c>
      <c r="AI68" s="22">
        <v>1.58</v>
      </c>
      <c r="AJ68" s="22" t="s">
        <v>564</v>
      </c>
      <c r="AK68" s="30">
        <v>-4.9000000000000004</v>
      </c>
      <c r="AL68" s="22">
        <v>-1.89</v>
      </c>
      <c r="AM68" s="22" t="s">
        <v>564</v>
      </c>
      <c r="AN68" s="65" t="s">
        <v>564</v>
      </c>
      <c r="AO68" s="65" t="s">
        <v>564</v>
      </c>
      <c r="AP68" s="65" t="s">
        <v>564</v>
      </c>
      <c r="AQ68" s="65" t="s">
        <v>564</v>
      </c>
      <c r="AR68" s="65" t="s">
        <v>564</v>
      </c>
      <c r="AS68" s="46" t="s">
        <v>3</v>
      </c>
      <c r="AT68" s="46" t="s">
        <v>3</v>
      </c>
      <c r="AU68" s="46" t="s">
        <v>3</v>
      </c>
      <c r="AV68" s="46" t="s">
        <v>3</v>
      </c>
      <c r="AW68" s="53">
        <f>(299.095684-E68)/299.095684*10^6</f>
        <v>-0.61518774704282253</v>
      </c>
      <c r="AX68" s="53">
        <f>(299.09565-E68)/299.09565
*10^6</f>
        <v>-0.72886382673247541</v>
      </c>
      <c r="AY68" s="57" t="s">
        <v>3</v>
      </c>
      <c r="AZ68" s="57">
        <f>(299.096566-E68)/299.096566*10^6</f>
        <v>2.3336944630780727</v>
      </c>
      <c r="BA68" s="121">
        <f>(299.095452-E68)/299.095452*10^6</f>
        <v>-1.3908603330179774</v>
      </c>
    </row>
    <row r="69" spans="1:53" x14ac:dyDescent="0.25">
      <c r="A69" s="38">
        <v>66</v>
      </c>
      <c r="B69" s="139" t="s">
        <v>87</v>
      </c>
      <c r="C69" s="38" t="s">
        <v>138</v>
      </c>
      <c r="D69" s="38" t="s">
        <v>195</v>
      </c>
      <c r="E69" s="48">
        <v>96.044390000000007</v>
      </c>
      <c r="F69" s="23" t="s">
        <v>3</v>
      </c>
      <c r="G69" s="23" t="s">
        <v>3</v>
      </c>
      <c r="H69" s="23" t="s">
        <v>3</v>
      </c>
      <c r="I69" s="25" t="s">
        <v>3</v>
      </c>
      <c r="J69" s="25" t="s">
        <v>3</v>
      </c>
      <c r="K69" s="117" t="s">
        <v>3</v>
      </c>
      <c r="L69" s="16" t="s">
        <v>3</v>
      </c>
      <c r="M69" s="16" t="s">
        <v>3</v>
      </c>
      <c r="N69" s="16" t="s">
        <v>3</v>
      </c>
      <c r="O69" s="16" t="s">
        <v>3</v>
      </c>
      <c r="P69" s="16" t="s">
        <v>3</v>
      </c>
      <c r="Q69" s="16" t="s">
        <v>3</v>
      </c>
      <c r="R69" s="16" t="s">
        <v>3</v>
      </c>
      <c r="S69" s="16" t="s">
        <v>3</v>
      </c>
      <c r="T69" s="16" t="s">
        <v>3</v>
      </c>
      <c r="U69" s="16" t="s">
        <v>3</v>
      </c>
      <c r="V69" s="16" t="s">
        <v>3</v>
      </c>
      <c r="W69" s="20" t="s">
        <v>3</v>
      </c>
      <c r="X69" s="20" t="s">
        <v>3</v>
      </c>
      <c r="Y69" s="20" t="s">
        <v>3</v>
      </c>
      <c r="Z69" s="17" t="s">
        <v>3</v>
      </c>
      <c r="AA69" s="18" t="s">
        <v>3</v>
      </c>
      <c r="AB69" s="18" t="s">
        <v>3</v>
      </c>
      <c r="AC69" s="19" t="s">
        <v>3</v>
      </c>
      <c r="AD69" s="19" t="s">
        <v>3</v>
      </c>
      <c r="AE69" s="21">
        <f>(96.04459-E69)/E69*10^6</f>
        <v>2.0823704538331538</v>
      </c>
      <c r="AF69" s="21">
        <v>0</v>
      </c>
      <c r="AG69" s="21" t="s">
        <v>3</v>
      </c>
      <c r="AH69" s="21" t="s">
        <v>3</v>
      </c>
      <c r="AI69" s="22" t="s">
        <v>3</v>
      </c>
      <c r="AJ69" s="22" t="s">
        <v>3</v>
      </c>
      <c r="AK69" s="22" t="s">
        <v>3</v>
      </c>
      <c r="AL69" s="22" t="s">
        <v>3</v>
      </c>
      <c r="AM69" s="22" t="s">
        <v>3</v>
      </c>
      <c r="AN69" s="65" t="s">
        <v>3</v>
      </c>
      <c r="AO69" s="65" t="s">
        <v>3</v>
      </c>
      <c r="AP69" s="65" t="s">
        <v>3</v>
      </c>
      <c r="AQ69" s="65" t="s">
        <v>3</v>
      </c>
      <c r="AR69" s="65" t="s">
        <v>3</v>
      </c>
      <c r="AS69" s="46" t="s">
        <v>3</v>
      </c>
      <c r="AT69" s="46" t="s">
        <v>3</v>
      </c>
      <c r="AU69" s="46" t="s">
        <v>3</v>
      </c>
      <c r="AV69" s="46" t="s">
        <v>3</v>
      </c>
      <c r="AW69" s="53" t="s">
        <v>3</v>
      </c>
      <c r="AX69" s="53" t="s">
        <v>3</v>
      </c>
      <c r="AY69" s="57" t="s">
        <v>3</v>
      </c>
      <c r="AZ69" s="57" t="s">
        <v>3</v>
      </c>
      <c r="BA69" s="121" t="s">
        <v>3</v>
      </c>
    </row>
    <row r="70" spans="1:53" x14ac:dyDescent="0.25">
      <c r="A70" s="38">
        <v>67</v>
      </c>
      <c r="B70" s="139" t="s">
        <v>105</v>
      </c>
      <c r="C70" s="38" t="s">
        <v>138</v>
      </c>
      <c r="D70" s="38" t="s">
        <v>196</v>
      </c>
      <c r="E70" s="48">
        <v>100.07568999999999</v>
      </c>
      <c r="F70" s="23" t="s">
        <v>3</v>
      </c>
      <c r="G70" s="23" t="s">
        <v>3</v>
      </c>
      <c r="H70" s="23" t="s">
        <v>3</v>
      </c>
      <c r="I70" s="25" t="s">
        <v>3</v>
      </c>
      <c r="J70" s="25" t="s">
        <v>3</v>
      </c>
      <c r="K70" s="117" t="s">
        <v>3</v>
      </c>
      <c r="L70" s="16" t="s">
        <v>3</v>
      </c>
      <c r="M70" s="16" t="s">
        <v>3</v>
      </c>
      <c r="N70" s="16" t="s">
        <v>3</v>
      </c>
      <c r="O70" s="16" t="s">
        <v>3</v>
      </c>
      <c r="P70" s="16" t="s">
        <v>3</v>
      </c>
      <c r="Q70" s="16" t="s">
        <v>3</v>
      </c>
      <c r="R70" s="16" t="s">
        <v>3</v>
      </c>
      <c r="S70" s="16" t="s">
        <v>3</v>
      </c>
      <c r="T70" s="16" t="s">
        <v>3</v>
      </c>
      <c r="U70" s="16" t="s">
        <v>3</v>
      </c>
      <c r="V70" s="16" t="s">
        <v>3</v>
      </c>
      <c r="W70" s="20">
        <f>(100.076-E70)/E70*10^6</f>
        <v>3.097655384628597</v>
      </c>
      <c r="X70" s="20">
        <f>(100.076-E70)/E70*10^6</f>
        <v>3.097655384628597</v>
      </c>
      <c r="Y70" s="20" t="s">
        <v>3</v>
      </c>
      <c r="Z70" s="17" t="s">
        <v>3</v>
      </c>
      <c r="AA70" s="18">
        <f>(100.0759-E70)/E70*10^6</f>
        <v>2.0984117122731152</v>
      </c>
      <c r="AB70" s="18" t="s">
        <v>3</v>
      </c>
      <c r="AC70" s="19">
        <f>(100.0756-E70)/100.0756*10^6</f>
        <v>-0.89932011399527489</v>
      </c>
      <c r="AD70" s="19" t="s">
        <v>3</v>
      </c>
      <c r="AE70" s="21">
        <f>(100.07599-E70)/E70*10^6</f>
        <v>2.9977310174924501</v>
      </c>
      <c r="AF70" s="21">
        <f>(100.07582-E70)/E70*10^6</f>
        <v>1.2990167741899279</v>
      </c>
      <c r="AG70" s="21">
        <f>(100.07612-E70)/E70*10^6</f>
        <v>4.2967477916823773</v>
      </c>
      <c r="AH70" s="21">
        <f>(100.07572-E70)/E70</f>
        <v>2.9977310183444563E-7</v>
      </c>
      <c r="AI70" s="22" t="s">
        <v>3</v>
      </c>
      <c r="AJ70" s="22" t="s">
        <v>3</v>
      </c>
      <c r="AK70" s="22" t="s">
        <v>3</v>
      </c>
      <c r="AL70" s="22" t="s">
        <v>3</v>
      </c>
      <c r="AM70" s="22" t="s">
        <v>3</v>
      </c>
      <c r="AN70" s="65" t="s">
        <v>3</v>
      </c>
      <c r="AO70" s="65" t="s">
        <v>3</v>
      </c>
      <c r="AP70" s="65" t="s">
        <v>3</v>
      </c>
      <c r="AQ70" s="65" t="s">
        <v>3</v>
      </c>
      <c r="AR70" s="65" t="s">
        <v>3</v>
      </c>
      <c r="AS70" s="46" t="s">
        <v>3</v>
      </c>
      <c r="AT70" s="46" t="s">
        <v>3</v>
      </c>
      <c r="AU70" s="46" t="s">
        <v>3</v>
      </c>
      <c r="AV70" s="46" t="s">
        <v>3</v>
      </c>
      <c r="AW70" s="53">
        <f>(100.07565-E70)/100.07565*10^6</f>
        <v>-0.39969762872872366</v>
      </c>
      <c r="AX70" s="53" t="s">
        <v>3</v>
      </c>
      <c r="AY70" s="57">
        <f>(100.076112-E70)/100.076112*10^6</f>
        <v>4.2167905164058181</v>
      </c>
      <c r="AZ70" s="57" t="s">
        <v>3</v>
      </c>
      <c r="BA70" s="121">
        <f>(100.07615-E70)/100.07615*10^6</f>
        <v>4.5964997654676134</v>
      </c>
    </row>
    <row r="71" spans="1:53" x14ac:dyDescent="0.25">
      <c r="A71" s="38">
        <v>68</v>
      </c>
      <c r="B71" s="139" t="s">
        <v>116</v>
      </c>
      <c r="C71" s="38" t="s">
        <v>138</v>
      </c>
      <c r="D71" s="38" t="s">
        <v>197</v>
      </c>
      <c r="E71" s="48">
        <v>237.102239</v>
      </c>
      <c r="F71" s="23">
        <v>5.29</v>
      </c>
      <c r="G71" s="23">
        <v>8.24</v>
      </c>
      <c r="H71" s="23">
        <f>(237.1024-E71)/E71*10^6</f>
        <v>0.67903196810983313</v>
      </c>
      <c r="I71" s="25" t="s">
        <v>3</v>
      </c>
      <c r="J71" s="24">
        <v>2.2799999999999998</v>
      </c>
      <c r="K71" s="118">
        <v>-2.5727368594326681</v>
      </c>
      <c r="L71" s="16" t="s">
        <v>3</v>
      </c>
      <c r="M71" s="15">
        <v>0.21087949239058509</v>
      </c>
      <c r="N71" s="15">
        <v>0.67481437541013012</v>
      </c>
      <c r="O71" s="15">
        <v>0.21087949239058509</v>
      </c>
      <c r="P71" s="15">
        <v>0.67481437541013012</v>
      </c>
      <c r="Q71" s="15">
        <v>0.67481437541013012</v>
      </c>
      <c r="R71" s="15">
        <v>1.0543974615933123</v>
      </c>
      <c r="S71" s="15">
        <v>0.67481437541013012</v>
      </c>
      <c r="T71" s="15">
        <v>0.67481437541013012</v>
      </c>
      <c r="U71" s="15">
        <v>-1.4339826040796544</v>
      </c>
      <c r="V71" s="15">
        <v>1.0543974615933123</v>
      </c>
      <c r="W71" s="28">
        <v>0.67481437541013012</v>
      </c>
      <c r="X71" s="28">
        <v>0.67481437541013012</v>
      </c>
      <c r="Y71" s="28">
        <v>1.0543974615933123</v>
      </c>
      <c r="Z71" s="26">
        <v>2.3618503140553266</v>
      </c>
      <c r="AA71" s="29">
        <v>0.67481437541013012</v>
      </c>
      <c r="AB71" s="29" t="s">
        <v>3</v>
      </c>
      <c r="AC71" s="27">
        <v>-0.59046292710015846</v>
      </c>
      <c r="AD71" s="27" t="s">
        <v>3</v>
      </c>
      <c r="AE71" s="21">
        <f>(237.10236-E71)/E71*10^6</f>
        <v>0.51032837360571348</v>
      </c>
      <c r="AF71" s="21">
        <f>(237.1022-E71)/237.1022*10^6</f>
        <v>-0.16448603170615705</v>
      </c>
      <c r="AG71" s="21">
        <f>(237.10186-E71)/237.10186*10^6</f>
        <v>-1.5984691136942373</v>
      </c>
      <c r="AH71" s="21">
        <f>(237.10303-E71)/237.10303*10^6</f>
        <v>3.3361024529818817</v>
      </c>
      <c r="AI71" s="22">
        <v>3.75</v>
      </c>
      <c r="AJ71" s="30">
        <v>1.39</v>
      </c>
      <c r="AK71" s="22">
        <v>2.84</v>
      </c>
      <c r="AL71" s="22">
        <v>3.28</v>
      </c>
      <c r="AM71" s="30" t="s">
        <v>3</v>
      </c>
      <c r="AN71" s="66">
        <f>(237.102215965529-E71)/MIN(237.102215965529,E71)*10^6</f>
        <v>-9.7149960792388496E-2</v>
      </c>
      <c r="AO71" s="66">
        <f>(237.102610859971-E71)/MIN(E71,237.102610859971)*10^6</f>
        <v>1.5683528446612023</v>
      </c>
      <c r="AP71" s="66">
        <f>(237.102412255449-E71)/MIN(237.102412255449,E71)*10^6</f>
        <v>0.73072042562636219</v>
      </c>
      <c r="AQ71" s="66">
        <f>(237.102414929585-E71)/MIN(237.102414929585,E71)*10^6</f>
        <v>0.74199883451080606</v>
      </c>
      <c r="AR71" s="66">
        <f>(237.102420451967-E71)/MIN(237.102420451967,E71)*10^6</f>
        <v>0.76528997684803701</v>
      </c>
      <c r="AS71" s="46">
        <f>(237.10271-E71)/E71*10^6</f>
        <v>1.9864848260861472</v>
      </c>
      <c r="AT71" s="46">
        <f>(237.1017-E71)/237.1017*10^6</f>
        <v>-2.2732861046690003</v>
      </c>
      <c r="AU71" s="46">
        <f>(237.10159-E71)/237.10159*10^6</f>
        <v>-2.737223314318102</v>
      </c>
      <c r="AV71" s="46">
        <f>(237.1028-E71)/E71*10^6</f>
        <v>2.3660679138702552</v>
      </c>
      <c r="AW71" s="53" t="s">
        <v>3</v>
      </c>
      <c r="AX71" s="53" t="s">
        <v>3</v>
      </c>
      <c r="AY71" s="57">
        <f>(237.102417-E71)/237.102417*10^6</f>
        <v>0.75073043226438541</v>
      </c>
      <c r="AZ71" s="57">
        <f>(237.103349-E71)/237.103349*10^6</f>
        <v>4.6815028328059114</v>
      </c>
      <c r="BA71" s="121">
        <f>(237.10282-E71)/237.10282*10^6</f>
        <v>2.450413706640203</v>
      </c>
    </row>
    <row r="72" spans="1:53" x14ac:dyDescent="0.25">
      <c r="A72" s="38">
        <v>69</v>
      </c>
      <c r="B72" s="139" t="s">
        <v>88</v>
      </c>
      <c r="C72" s="38" t="s">
        <v>138</v>
      </c>
      <c r="D72" s="38" t="s">
        <v>198</v>
      </c>
      <c r="E72" s="48">
        <v>255.11280400000001</v>
      </c>
      <c r="F72" s="23" t="s">
        <v>3</v>
      </c>
      <c r="G72" s="23" t="s">
        <v>3</v>
      </c>
      <c r="H72" s="23" t="s">
        <v>3</v>
      </c>
      <c r="I72" s="25" t="s">
        <v>3</v>
      </c>
      <c r="J72" s="25" t="s">
        <v>3</v>
      </c>
      <c r="K72" s="118">
        <v>-2.14</v>
      </c>
      <c r="L72" s="15" t="s">
        <v>3</v>
      </c>
      <c r="M72" s="15">
        <f>(255.1129-255.1128)/255.1128*10^6</f>
        <v>0.39198346771827858</v>
      </c>
      <c r="N72" s="15">
        <f>(255.11301-255.1128)/255.1128*10^6</f>
        <v>0.82316528221952578</v>
      </c>
      <c r="O72" s="15">
        <f>(255.1129-255.1128)/255.1129*10^6</f>
        <v>0.39198331406729986</v>
      </c>
      <c r="P72" s="15">
        <f>(255.11301-255.1128)/255.1128*10^6</f>
        <v>0.82316528221952578</v>
      </c>
      <c r="Q72" s="15">
        <f>(255.1134-255.1128)/255.1128*10^6</f>
        <v>2.3519008063096716</v>
      </c>
      <c r="R72" s="15">
        <f>(255.1132-255.1128)/255.1132*10^6</f>
        <v>1.5679314124603456</v>
      </c>
      <c r="S72" s="15">
        <f>(255.1125-255.1128)/255.1125*10^6</f>
        <v>-1.175951785904404</v>
      </c>
      <c r="T72" s="15" t="s">
        <v>3</v>
      </c>
      <c r="U72" s="15">
        <f>(255.1131-255.1128)/255.1128*10^6</f>
        <v>1.1759504031548358</v>
      </c>
      <c r="V72" s="15">
        <f>(255.11301-255.1128)/255.1128*10^6</f>
        <v>0.82316528221952578</v>
      </c>
      <c r="W72" s="28">
        <f>(255.11301-255.1128)/255.1128*10^6</f>
        <v>0.82316528221952578</v>
      </c>
      <c r="X72" s="28">
        <f>(255.1129-255.1128)/255.1128*10^6</f>
        <v>0.39198346771827858</v>
      </c>
      <c r="Y72" s="28" t="s">
        <v>3</v>
      </c>
      <c r="Z72" s="26" t="s">
        <v>3</v>
      </c>
      <c r="AA72" s="29">
        <f>(255.1131-255.1128)/255.1128*10^6</f>
        <v>1.1759504031548358</v>
      </c>
      <c r="AB72" s="29" t="s">
        <v>3</v>
      </c>
      <c r="AC72" s="27">
        <f>(255.1095-255.1128)/255.1095*10^6</f>
        <v>-12.935621762403445</v>
      </c>
      <c r="AD72" s="27" t="s">
        <v>3</v>
      </c>
      <c r="AE72" s="21">
        <f>(255.11283-E72)/E72*10^6</f>
        <v>0.10191569997090279</v>
      </c>
      <c r="AF72" s="21">
        <f>(255.11316-E72)/E72*10^6</f>
        <v>1.3954611230812992</v>
      </c>
      <c r="AG72" s="21" t="s">
        <v>3</v>
      </c>
      <c r="AH72" s="21" t="s">
        <v>3</v>
      </c>
      <c r="AI72" s="22">
        <v>0.35</v>
      </c>
      <c r="AJ72" s="30">
        <v>2.41</v>
      </c>
      <c r="AK72" s="22">
        <v>3.62</v>
      </c>
      <c r="AL72" s="22">
        <v>3.6</v>
      </c>
      <c r="AM72" s="30" t="s">
        <v>3</v>
      </c>
      <c r="AN72" s="66">
        <f>(277.094776086512-277.094748)/MIN(277.094776086512,277.094748)*10^6</f>
        <v>0.10136067981944413</v>
      </c>
      <c r="AO72" s="65" t="s">
        <v>3</v>
      </c>
      <c r="AP72" s="65" t="s">
        <v>3</v>
      </c>
      <c r="AQ72" s="65" t="s">
        <v>3</v>
      </c>
      <c r="AR72" s="65" t="s">
        <v>3</v>
      </c>
      <c r="AS72" s="46" t="s">
        <v>3</v>
      </c>
      <c r="AT72" s="46">
        <f>(255.1152-255.1128)/255.1128*10^6</f>
        <v>9.4076032249044594</v>
      </c>
      <c r="AU72" s="46" t="s">
        <v>3</v>
      </c>
      <c r="AV72" s="46" t="s">
        <v>3</v>
      </c>
      <c r="AW72" s="53" t="s">
        <v>3</v>
      </c>
      <c r="AX72" s="53" t="s">
        <v>3</v>
      </c>
      <c r="AY72" s="57" t="s">
        <v>3</v>
      </c>
      <c r="AZ72" s="57" t="s">
        <v>3</v>
      </c>
      <c r="BA72" s="121" t="s">
        <v>3</v>
      </c>
    </row>
    <row r="73" spans="1:53" ht="14.25" customHeight="1" x14ac:dyDescent="0.25">
      <c r="A73" s="38">
        <v>70</v>
      </c>
      <c r="B73" s="139" t="s">
        <v>89</v>
      </c>
      <c r="C73" s="38" t="s">
        <v>138</v>
      </c>
      <c r="D73" s="38" t="s">
        <v>199</v>
      </c>
      <c r="E73" s="48">
        <v>415.16860500000001</v>
      </c>
      <c r="F73" s="23" t="s">
        <v>3</v>
      </c>
      <c r="G73" s="23" t="s">
        <v>3</v>
      </c>
      <c r="H73" s="23" t="s">
        <v>3</v>
      </c>
      <c r="I73" s="25" t="s">
        <v>3</v>
      </c>
      <c r="J73" s="25" t="s">
        <v>3</v>
      </c>
      <c r="K73" s="117" t="s">
        <v>3</v>
      </c>
      <c r="L73" s="15" t="s">
        <v>3</v>
      </c>
      <c r="M73" s="15">
        <f>(415.16861-415.16861)/415.16861*10^6</f>
        <v>0</v>
      </c>
      <c r="N73" s="15">
        <f>(415.16821-415.16861)/415.16821*10^6</f>
        <v>-0.96346490501591786</v>
      </c>
      <c r="O73" s="15">
        <f>(415.16861-415.16861)/415.16861*10^6</f>
        <v>0</v>
      </c>
      <c r="P73" s="15">
        <f>(415.16861-415.16861)/415.16861*10^6</f>
        <v>0</v>
      </c>
      <c r="Q73" s="15">
        <f>(415.16919-415.16861)/415.16919*10^6</f>
        <v>1.3970208146070995</v>
      </c>
      <c r="R73" s="15">
        <f>(415.16879-415.16861)/415.16861*10^6</f>
        <v>0.43355878952479343</v>
      </c>
      <c r="S73" s="15">
        <f>(415.1687-415.16861)/415.16861*10^6</f>
        <v>0.21677939476239672</v>
      </c>
      <c r="T73" s="15">
        <f>(415.16861-415.16861)/415.16861*10^6</f>
        <v>0</v>
      </c>
      <c r="U73" s="15">
        <f>(415.16779-415.16861)/415.16779*10^6</f>
        <v>-1.9751050532510293</v>
      </c>
      <c r="V73" s="15" t="s">
        <v>3</v>
      </c>
      <c r="W73" s="28" t="s">
        <v>3</v>
      </c>
      <c r="X73" s="28">
        <f>(415.16901-415.16861)/415.16861*10^6</f>
        <v>0.96346397675218887</v>
      </c>
      <c r="Y73" s="28" t="s">
        <v>3</v>
      </c>
      <c r="Z73" s="26" t="s">
        <v>3</v>
      </c>
      <c r="AA73" s="29" t="s">
        <v>3</v>
      </c>
      <c r="AB73" s="29" t="s">
        <v>3</v>
      </c>
      <c r="AC73" s="27" t="s">
        <v>3</v>
      </c>
      <c r="AD73" s="27" t="s">
        <v>3</v>
      </c>
      <c r="AE73" s="21">
        <f>(415.16976-E73)/E73*10^6</f>
        <v>2.7820022662429396</v>
      </c>
      <c r="AF73" s="21">
        <f>(415.17027-E73)/E73*10^6</f>
        <v>4.0104188514030152</v>
      </c>
      <c r="AG73" s="21" t="s">
        <v>3</v>
      </c>
      <c r="AH73" s="21" t="s">
        <v>3</v>
      </c>
      <c r="AI73" s="22" t="s">
        <v>3</v>
      </c>
      <c r="AJ73" s="30">
        <v>0.87</v>
      </c>
      <c r="AK73" s="22">
        <v>0.84</v>
      </c>
      <c r="AL73" s="22">
        <v>1</v>
      </c>
      <c r="AM73" s="30" t="s">
        <v>3</v>
      </c>
      <c r="AN73" s="65" t="s">
        <v>3</v>
      </c>
      <c r="AO73" s="65" t="s">
        <v>3</v>
      </c>
      <c r="AP73" s="65" t="s">
        <v>3</v>
      </c>
      <c r="AQ73" s="65" t="s">
        <v>3</v>
      </c>
      <c r="AR73" s="65" t="s">
        <v>3</v>
      </c>
      <c r="AS73" s="46" t="s">
        <v>3</v>
      </c>
      <c r="AT73" s="46" t="s">
        <v>3</v>
      </c>
      <c r="AU73" s="46" t="s">
        <v>3</v>
      </c>
      <c r="AV73" s="46" t="s">
        <v>3</v>
      </c>
      <c r="AW73" s="53" t="s">
        <v>3</v>
      </c>
      <c r="AX73" s="53" t="s">
        <v>3</v>
      </c>
      <c r="AY73" s="57" t="s">
        <v>3</v>
      </c>
      <c r="AZ73" s="57" t="s">
        <v>3</v>
      </c>
      <c r="BA73" s="121" t="s">
        <v>3</v>
      </c>
    </row>
    <row r="74" spans="1:53" x14ac:dyDescent="0.25">
      <c r="A74" s="38">
        <v>71</v>
      </c>
      <c r="B74" s="139" t="s">
        <v>90</v>
      </c>
      <c r="C74" s="38" t="s">
        <v>138</v>
      </c>
      <c r="D74" s="38" t="s">
        <v>200</v>
      </c>
      <c r="E74" s="48">
        <v>373.15804000000003</v>
      </c>
      <c r="F74" s="23" t="s">
        <v>3</v>
      </c>
      <c r="G74" s="23" t="s">
        <v>3</v>
      </c>
      <c r="H74" s="23" t="s">
        <v>3</v>
      </c>
      <c r="I74" s="25" t="s">
        <v>3</v>
      </c>
      <c r="J74" s="25" t="s">
        <v>3</v>
      </c>
      <c r="K74" s="118">
        <v>-1.5811021948842503</v>
      </c>
      <c r="L74" s="15" t="s">
        <v>3</v>
      </c>
      <c r="M74" s="15">
        <f>(373.1582-373.15804)/373.15804*10^6</f>
        <v>0.42877275267589776</v>
      </c>
      <c r="N74" s="15">
        <f>(373.15811-373.15804)/373.15804*10^6</f>
        <v>0.18758807928618457</v>
      </c>
      <c r="O74" s="15">
        <f>(373.15781-373.15804)/373.15781*10^6</f>
        <v>-0.61636121201532257</v>
      </c>
      <c r="P74" s="15">
        <f>(373.15811-373.15804)/373.15804*10^6</f>
        <v>0.18758807928618457</v>
      </c>
      <c r="Q74" s="15">
        <f>(373.15829-373.15804)/373.15804*10^6</f>
        <v>0.66995742606561082</v>
      </c>
      <c r="R74" s="15">
        <f>(373.1582-373.15804)/373.15804*10^6</f>
        <v>0.42877275267589776</v>
      </c>
      <c r="S74" s="15">
        <f>(373.15799-373.15804)/373.15799*10^6</f>
        <v>-0.13399150328870726</v>
      </c>
      <c r="T74" s="15">
        <f>(373.1582-373.15804)/373.15804*10^6</f>
        <v>0.42877275267589776</v>
      </c>
      <c r="U74" s="15" t="s">
        <v>3</v>
      </c>
      <c r="V74" s="15">
        <f>(373.15771-373.15804)/373.15771*10^6</f>
        <v>-0.8843445845443777</v>
      </c>
      <c r="W74" s="28" t="s">
        <v>3</v>
      </c>
      <c r="X74" s="28">
        <f>(373.15869-373.15804)/373.15804*10^6</f>
        <v>1.7418893076791899</v>
      </c>
      <c r="Y74" s="28" t="s">
        <v>3</v>
      </c>
      <c r="Z74" s="26" t="s">
        <v>3</v>
      </c>
      <c r="AA74" s="29" t="s">
        <v>3</v>
      </c>
      <c r="AB74" s="29" t="s">
        <v>3</v>
      </c>
      <c r="AC74" s="27" t="s">
        <v>3</v>
      </c>
      <c r="AD74" s="27" t="s">
        <v>3</v>
      </c>
      <c r="AE74" s="21">
        <f>(373.1583-E74)/E74*10^6</f>
        <v>0.69675572304120981</v>
      </c>
      <c r="AF74" s="21">
        <f>(373.15819-E74)/E74*10^6</f>
        <v>0.40197445554796812</v>
      </c>
      <c r="AG74" s="21">
        <f>(373.1583-E74)/E74*10^6</f>
        <v>0.69675572304120981</v>
      </c>
      <c r="AH74" s="21" t="s">
        <v>3</v>
      </c>
      <c r="AI74" s="22">
        <v>0.27</v>
      </c>
      <c r="AJ74" s="30">
        <v>0.24</v>
      </c>
      <c r="AK74" s="22">
        <v>0.97</v>
      </c>
      <c r="AL74" s="22">
        <v>0.73</v>
      </c>
      <c r="AM74" s="30" t="s">
        <v>3</v>
      </c>
      <c r="AN74" s="65" t="s">
        <v>3</v>
      </c>
      <c r="AO74" s="65" t="s">
        <v>3</v>
      </c>
      <c r="AP74" s="65" t="s">
        <v>3</v>
      </c>
      <c r="AQ74" s="65" t="s">
        <v>3</v>
      </c>
      <c r="AR74" s="65" t="s">
        <v>3</v>
      </c>
      <c r="AS74" s="46" t="s">
        <v>3</v>
      </c>
      <c r="AT74" s="46" t="s">
        <v>3</v>
      </c>
      <c r="AU74" s="46" t="s">
        <v>3</v>
      </c>
      <c r="AV74" s="46" t="s">
        <v>3</v>
      </c>
      <c r="AW74" s="53" t="s">
        <v>3</v>
      </c>
      <c r="AX74" s="53" t="s">
        <v>3</v>
      </c>
      <c r="AY74" s="57" t="s">
        <v>3</v>
      </c>
      <c r="AZ74" s="57">
        <f>(373.161266-E74)/373.161266*10^6</f>
        <v>8.6450558884740776</v>
      </c>
      <c r="BA74" s="121">
        <f>(373.15849-E74)/373.15849*10^6</f>
        <v>1.2059219125468221</v>
      </c>
    </row>
    <row r="75" spans="1:53" x14ac:dyDescent="0.25">
      <c r="A75" s="38">
        <v>72</v>
      </c>
      <c r="B75" s="139" t="s">
        <v>275</v>
      </c>
      <c r="C75" s="38" t="s">
        <v>138</v>
      </c>
      <c r="D75" s="38" t="s">
        <v>201</v>
      </c>
      <c r="E75" s="48">
        <v>401.15295500000002</v>
      </c>
      <c r="F75" s="23" t="s">
        <v>3</v>
      </c>
      <c r="G75" s="23" t="s">
        <v>3</v>
      </c>
      <c r="H75" s="23" t="s">
        <v>3</v>
      </c>
      <c r="I75" s="25" t="s">
        <v>3</v>
      </c>
      <c r="J75" s="25" t="s">
        <v>3</v>
      </c>
      <c r="K75" s="117" t="s">
        <v>3</v>
      </c>
      <c r="L75" s="15" t="s">
        <v>3</v>
      </c>
      <c r="M75" s="15">
        <f>(401.15289-401.153)/401.15289*10^6</f>
        <v>-0.27420966606147046</v>
      </c>
      <c r="N75" s="15">
        <f>(401.15289-401.153)/401.15289*10^6</f>
        <v>-0.27420966606147046</v>
      </c>
      <c r="O75" s="15">
        <f>(401.15271-401.153)/401.15271*10^6</f>
        <v>-0.72291671669570623</v>
      </c>
      <c r="P75" s="15">
        <f>(401.15289-401.153)/401.15289*10^6</f>
        <v>-0.27420966606147046</v>
      </c>
      <c r="Q75" s="15">
        <f>(401.15289-401.153)/401.15289*10^6</f>
        <v>-0.27420966606147046</v>
      </c>
      <c r="R75" s="15">
        <f>(401.15311-401.153)/401.153*10^6</f>
        <v>0.27420959087055008</v>
      </c>
      <c r="S75" s="15">
        <f>(401.15302-401.153)/401.153*10^6</f>
        <v>4.9856289262072757E-2</v>
      </c>
      <c r="T75" s="15">
        <f>(401.15311-401.153)/401.153*10^6</f>
        <v>0.27420959087055008</v>
      </c>
      <c r="U75" s="15">
        <f>(401.15219-401.153)/401.15219*10^6</f>
        <v>-2.0191837915712476</v>
      </c>
      <c r="V75" s="15">
        <f>(401.15131-401.153)/401.15131*10^6</f>
        <v>-4.2128741895331627</v>
      </c>
      <c r="W75" s="28" t="s">
        <v>3</v>
      </c>
      <c r="X75" s="28" t="s">
        <v>3</v>
      </c>
      <c r="Y75" s="28" t="s">
        <v>3</v>
      </c>
      <c r="Z75" s="26" t="s">
        <v>3</v>
      </c>
      <c r="AA75" s="29" t="s">
        <v>3</v>
      </c>
      <c r="AB75" s="29" t="s">
        <v>3</v>
      </c>
      <c r="AC75" s="27" t="s">
        <v>3</v>
      </c>
      <c r="AD75" s="27" t="s">
        <v>3</v>
      </c>
      <c r="AE75" s="21">
        <f>(401.15105-E75)/401.15105*10^6</f>
        <v>-4.7488346347891355</v>
      </c>
      <c r="AF75" s="21">
        <f>(401.1537-E75)/E75*10^6</f>
        <v>1.8571469827385134</v>
      </c>
      <c r="AG75" s="21" t="s">
        <v>3</v>
      </c>
      <c r="AH75" s="21" t="s">
        <v>3</v>
      </c>
      <c r="AI75" s="22" t="s">
        <v>3</v>
      </c>
      <c r="AJ75" s="30">
        <v>1.98</v>
      </c>
      <c r="AK75" s="22">
        <v>-1.43</v>
      </c>
      <c r="AL75" s="22">
        <v>0.76</v>
      </c>
      <c r="AM75" s="30" t="s">
        <v>3</v>
      </c>
      <c r="AN75" s="65" t="s">
        <v>3</v>
      </c>
      <c r="AO75" s="65" t="s">
        <v>3</v>
      </c>
      <c r="AP75" s="65" t="s">
        <v>3</v>
      </c>
      <c r="AQ75" s="65" t="s">
        <v>3</v>
      </c>
      <c r="AR75" s="65" t="s">
        <v>3</v>
      </c>
      <c r="AS75" s="46" t="s">
        <v>3</v>
      </c>
      <c r="AT75" s="46" t="s">
        <v>3</v>
      </c>
      <c r="AU75" s="46" t="s">
        <v>3</v>
      </c>
      <c r="AV75" s="46" t="s">
        <v>3</v>
      </c>
      <c r="AW75" s="53" t="s">
        <v>3</v>
      </c>
      <c r="AX75" s="53" t="s">
        <v>3</v>
      </c>
      <c r="AY75" s="57" t="s">
        <v>3</v>
      </c>
      <c r="AZ75" s="57" t="s">
        <v>3</v>
      </c>
      <c r="BA75" s="121" t="s">
        <v>3</v>
      </c>
    </row>
    <row r="76" spans="1:53" x14ac:dyDescent="0.25">
      <c r="A76" s="38">
        <v>73</v>
      </c>
      <c r="B76" s="139" t="s">
        <v>276</v>
      </c>
      <c r="C76" s="38" t="s">
        <v>138</v>
      </c>
      <c r="D76" s="38" t="s">
        <v>201</v>
      </c>
      <c r="E76" s="48">
        <v>401.15295500000002</v>
      </c>
      <c r="F76" s="23" t="s">
        <v>3</v>
      </c>
      <c r="G76" s="23" t="s">
        <v>3</v>
      </c>
      <c r="H76" s="23" t="s">
        <v>3</v>
      </c>
      <c r="I76" s="25" t="s">
        <v>3</v>
      </c>
      <c r="J76" s="25" t="s">
        <v>3</v>
      </c>
      <c r="K76" s="117" t="s">
        <v>3</v>
      </c>
      <c r="L76" s="15" t="s">
        <v>3</v>
      </c>
      <c r="M76" s="15">
        <f>(401.1528-401.153)/401.1528*10^6</f>
        <v>-0.49856314104410915</v>
      </c>
      <c r="N76" s="15">
        <f>(401.15259-401.153)/401.15259*10^6</f>
        <v>-1.0220549742552441</v>
      </c>
      <c r="O76" s="15">
        <f>(401.1528-401.153)/401.1528*10^6</f>
        <v>-0.49856314104410915</v>
      </c>
      <c r="P76" s="15">
        <f>(401.1532-401.153)/401.153*10^6</f>
        <v>0.49856289247902746</v>
      </c>
      <c r="Q76" s="15">
        <f>(401.15311-401.153)/401.153*10^6</f>
        <v>0.27420959087055008</v>
      </c>
      <c r="R76" s="15">
        <f>(401.15311-401.153)/401.153*10^6</f>
        <v>0.27420959087055008</v>
      </c>
      <c r="S76" s="15">
        <f>(401.15311-401.153)/401.153*10^6</f>
        <v>0.27420959087055008</v>
      </c>
      <c r="T76" s="15">
        <f>(401.15329-401.153)/401.153*10^6</f>
        <v>0.72291619408750485</v>
      </c>
      <c r="U76" s="15">
        <f>(401.15359-401.153)/401.153*10^6</f>
        <v>1.470760532735196</v>
      </c>
      <c r="V76" s="15">
        <f>(401.1528-401.153)/401.1528*10^6</f>
        <v>-0.49856314104410915</v>
      </c>
      <c r="W76" s="28" t="s">
        <v>3</v>
      </c>
      <c r="X76" s="28" t="s">
        <v>3</v>
      </c>
      <c r="Y76" s="28" t="s">
        <v>3</v>
      </c>
      <c r="Z76" s="26" t="s">
        <v>3</v>
      </c>
      <c r="AA76" s="29" t="s">
        <v>3</v>
      </c>
      <c r="AB76" s="29" t="s">
        <v>3</v>
      </c>
      <c r="AC76" s="27" t="s">
        <v>3</v>
      </c>
      <c r="AD76" s="27" t="s">
        <v>3</v>
      </c>
      <c r="AE76" s="21">
        <f>(401.15356-E76)/E76*10^6</f>
        <v>1.5081529188967189</v>
      </c>
      <c r="AF76" s="21">
        <f>(401.15423-E76)/E76*10^6</f>
        <v>3.1783387958943639</v>
      </c>
      <c r="AG76" s="21" t="s">
        <v>3</v>
      </c>
      <c r="AH76" s="21" t="s">
        <v>3</v>
      </c>
      <c r="AI76" s="22" t="s">
        <v>3</v>
      </c>
      <c r="AJ76" s="30">
        <v>-4.5599999999999996</v>
      </c>
      <c r="AK76" s="22">
        <v>1.1399999999999999</v>
      </c>
      <c r="AL76" s="22">
        <v>2.34</v>
      </c>
      <c r="AM76" s="30" t="s">
        <v>3</v>
      </c>
      <c r="AN76" s="65" t="s">
        <v>3</v>
      </c>
      <c r="AO76" s="65" t="s">
        <v>3</v>
      </c>
      <c r="AP76" s="65" t="s">
        <v>3</v>
      </c>
      <c r="AQ76" s="65" t="s">
        <v>3</v>
      </c>
      <c r="AR76" s="65" t="s">
        <v>3</v>
      </c>
      <c r="AS76" s="46" t="s">
        <v>3</v>
      </c>
      <c r="AT76" s="46" t="s">
        <v>3</v>
      </c>
      <c r="AU76" s="46" t="s">
        <v>3</v>
      </c>
      <c r="AV76" s="46" t="s">
        <v>3</v>
      </c>
      <c r="AW76" s="53" t="s">
        <v>3</v>
      </c>
      <c r="AX76" s="53" t="s">
        <v>3</v>
      </c>
      <c r="AY76" s="57" t="s">
        <v>3</v>
      </c>
      <c r="AZ76" s="57" t="s">
        <v>3</v>
      </c>
      <c r="BA76" s="121" t="s">
        <v>3</v>
      </c>
    </row>
    <row r="77" spans="1:53" x14ac:dyDescent="0.25">
      <c r="A77" s="38">
        <v>74</v>
      </c>
      <c r="B77" s="139" t="s">
        <v>53</v>
      </c>
      <c r="C77" s="38" t="s">
        <v>138</v>
      </c>
      <c r="D77" s="38" t="s">
        <v>202</v>
      </c>
      <c r="E77" s="48">
        <v>423.169464</v>
      </c>
      <c r="F77" s="23">
        <v>0.51</v>
      </c>
      <c r="G77" s="23">
        <v>0.51</v>
      </c>
      <c r="H77" s="23" t="s">
        <v>3</v>
      </c>
      <c r="I77" s="25" t="s">
        <v>3</v>
      </c>
      <c r="J77" s="25" t="s">
        <v>3</v>
      </c>
      <c r="K77" s="118">
        <v>-1.3942423134184541</v>
      </c>
      <c r="L77" s="15" t="s">
        <v>3</v>
      </c>
      <c r="M77" s="15" t="s">
        <v>3</v>
      </c>
      <c r="N77" s="15" t="s">
        <v>3</v>
      </c>
      <c r="O77" s="15">
        <f>(423.1684-423.16946)/423.1684*10^6</f>
        <v>-2.5049129377226609</v>
      </c>
      <c r="P77" s="15" t="s">
        <v>3</v>
      </c>
      <c r="Q77" s="15" t="s">
        <v>3</v>
      </c>
      <c r="R77" s="15" t="s">
        <v>3</v>
      </c>
      <c r="S77" s="15">
        <f>(423.1694-423.16946)/423.1694*10^6</f>
        <v>-0.1417871897614639</v>
      </c>
      <c r="T77" s="15" t="s">
        <v>3</v>
      </c>
      <c r="U77" s="15">
        <f>(423.16989-423.16946)/423.16946*10^6</f>
        <v>1.0161413822121741</v>
      </c>
      <c r="V77" s="15" t="s">
        <v>3</v>
      </c>
      <c r="W77" s="28" t="s">
        <v>3</v>
      </c>
      <c r="X77" s="28" t="s">
        <v>3</v>
      </c>
      <c r="Y77" s="28" t="s">
        <v>3</v>
      </c>
      <c r="Z77" s="26">
        <f>(423.1705-423.16946)/423.16946*10^6</f>
        <v>2.457644273263599</v>
      </c>
      <c r="AA77" s="29" t="s">
        <v>3</v>
      </c>
      <c r="AB77" s="29" t="s">
        <v>3</v>
      </c>
      <c r="AC77" s="27" t="s">
        <v>3</v>
      </c>
      <c r="AD77" s="27" t="s">
        <v>3</v>
      </c>
      <c r="AE77" s="21">
        <f>(423.17006-E77)/E77*10^6</f>
        <v>1.4084192047779081</v>
      </c>
      <c r="AF77" s="21">
        <f>(423.1679-E77)/423.1679*10^6</f>
        <v>-3.695932512911114</v>
      </c>
      <c r="AG77" s="21">
        <f>(423.16961-E77)/E77*10^6</f>
        <v>0.3450154427315813</v>
      </c>
      <c r="AH77" s="21" t="s">
        <v>3</v>
      </c>
      <c r="AI77" s="22" t="s">
        <v>3</v>
      </c>
      <c r="AJ77" s="30">
        <v>-3.93</v>
      </c>
      <c r="AK77" s="22">
        <v>2.67</v>
      </c>
      <c r="AL77" s="22">
        <v>-1.59</v>
      </c>
      <c r="AM77" s="30" t="s">
        <v>3</v>
      </c>
      <c r="AN77" s="66">
        <f>(423.169337663381-E77)/MIN(423.169337663381,E77)*10^6</f>
        <v>-0.2985486134612782</v>
      </c>
      <c r="AO77" s="66">
        <f>(423.169586181863-E77)/MIN(423.169586181863,E77)*10^6</f>
        <v>0.2887303394639803</v>
      </c>
      <c r="AP77" s="66">
        <f>(423.168961889644-E77)/MIN(423.168961889644,E77)*10^6</f>
        <v>-1.1865481669112108</v>
      </c>
      <c r="AQ77" s="66">
        <f>(423.1696203965-E77)/MIN(423.1696203965,E77)*10^6</f>
        <v>0.36958361442003396</v>
      </c>
      <c r="AR77" s="66">
        <f>(423.169331265654-E77)/MIN(423.169331265654,E77)*10^6</f>
        <v>-0.31366721587561619</v>
      </c>
      <c r="AS77" s="46" t="s">
        <v>3</v>
      </c>
      <c r="AT77" s="46">
        <f>(423.1713-423.16946)/423.16946*10^6</f>
        <v>4.3481398680300876</v>
      </c>
      <c r="AU77" s="46" t="s">
        <v>3</v>
      </c>
      <c r="AV77" s="46" t="s">
        <v>3</v>
      </c>
      <c r="AW77" s="53" t="s">
        <v>3</v>
      </c>
      <c r="AX77" s="53" t="s">
        <v>3</v>
      </c>
      <c r="AY77" s="57" t="s">
        <v>3</v>
      </c>
      <c r="AZ77" s="57" t="s">
        <v>3</v>
      </c>
      <c r="BA77" s="121" t="s">
        <v>3</v>
      </c>
    </row>
    <row r="78" spans="1:53" x14ac:dyDescent="0.25">
      <c r="A78" s="38">
        <v>75</v>
      </c>
      <c r="B78" s="139" t="s">
        <v>53</v>
      </c>
      <c r="C78" s="38" t="s">
        <v>139</v>
      </c>
      <c r="D78" s="38" t="s">
        <v>202</v>
      </c>
      <c r="E78" s="48">
        <v>421.15491100000003</v>
      </c>
      <c r="F78" s="23" t="s">
        <v>564</v>
      </c>
      <c r="G78" s="23" t="s">
        <v>564</v>
      </c>
      <c r="H78" s="23" t="s">
        <v>564</v>
      </c>
      <c r="I78" s="25" t="s">
        <v>3</v>
      </c>
      <c r="J78" s="25" t="s">
        <v>3</v>
      </c>
      <c r="K78" s="117">
        <v>-2.99</v>
      </c>
      <c r="L78" s="15" t="s">
        <v>3</v>
      </c>
      <c r="M78" s="15">
        <f>(421.15381-421.15491)/421.15381*10^6</f>
        <v>-2.6118723702184981</v>
      </c>
      <c r="N78" s="15" t="s">
        <v>3</v>
      </c>
      <c r="O78" s="15">
        <f>(421.15399-421.15491)/421.15399*10^6</f>
        <v>-2.1844741396156784</v>
      </c>
      <c r="P78" s="15" t="s">
        <v>3</v>
      </c>
      <c r="Q78" s="15" t="s">
        <v>3</v>
      </c>
      <c r="R78" s="15" t="s">
        <v>3</v>
      </c>
      <c r="S78" s="15">
        <f>(421.15329-421.15491)/421.15329*10^6</f>
        <v>-3.8465804219308746</v>
      </c>
      <c r="T78" s="15" t="s">
        <v>3</v>
      </c>
      <c r="U78" s="15">
        <f>(421.15341-421.15491)/421.15341*10^6</f>
        <v>-3.5616475240329404</v>
      </c>
      <c r="V78" s="15" t="s">
        <v>3</v>
      </c>
      <c r="W78" s="20" t="s">
        <v>564</v>
      </c>
      <c r="X78" s="20" t="s">
        <v>564</v>
      </c>
      <c r="Y78" s="20" t="s">
        <v>564</v>
      </c>
      <c r="Z78" s="26" t="s">
        <v>3</v>
      </c>
      <c r="AA78" s="29" t="s">
        <v>3</v>
      </c>
      <c r="AB78" s="29" t="s">
        <v>3</v>
      </c>
      <c r="AC78" s="27" t="s">
        <v>3</v>
      </c>
      <c r="AD78" s="27" t="s">
        <v>3</v>
      </c>
      <c r="AE78" s="21">
        <f>(421.15298-E78)/421.15298*10^6</f>
        <v>-4.5850322607552902</v>
      </c>
      <c r="AF78" s="21">
        <f>(421.15599-E78)/421.15599*10^6</f>
        <v>2.5619960906822854</v>
      </c>
      <c r="AG78" s="21">
        <f>(421.15505-E78)/E78*10^6</f>
        <v>0.33004482759105053</v>
      </c>
      <c r="AH78" s="21" t="s">
        <v>3</v>
      </c>
      <c r="AI78" s="22" t="s">
        <v>3</v>
      </c>
      <c r="AJ78" s="22" t="s">
        <v>564</v>
      </c>
      <c r="AK78" s="30">
        <v>-2.1</v>
      </c>
      <c r="AL78" s="22">
        <v>1.92</v>
      </c>
      <c r="AM78" s="22" t="s">
        <v>564</v>
      </c>
      <c r="AN78" s="65" t="s">
        <v>564</v>
      </c>
      <c r="AO78" s="65" t="s">
        <v>564</v>
      </c>
      <c r="AP78" s="65" t="s">
        <v>564</v>
      </c>
      <c r="AQ78" s="65" t="s">
        <v>564</v>
      </c>
      <c r="AR78" s="65" t="s">
        <v>564</v>
      </c>
      <c r="AS78" s="46" t="s">
        <v>3</v>
      </c>
      <c r="AT78" s="46" t="s">
        <v>3</v>
      </c>
      <c r="AU78" s="46" t="s">
        <v>3</v>
      </c>
      <c r="AV78" s="46" t="s">
        <v>3</v>
      </c>
      <c r="AW78" s="53" t="s">
        <v>3</v>
      </c>
      <c r="AX78" s="53" t="s">
        <v>3</v>
      </c>
      <c r="AY78" s="57" t="s">
        <v>3</v>
      </c>
      <c r="AZ78" s="57" t="s">
        <v>3</v>
      </c>
      <c r="BA78" s="121" t="s">
        <v>3</v>
      </c>
    </row>
    <row r="79" spans="1:53" x14ac:dyDescent="0.25">
      <c r="A79" s="38">
        <v>76</v>
      </c>
      <c r="B79" s="139" t="s">
        <v>91</v>
      </c>
      <c r="C79" s="38" t="s">
        <v>138</v>
      </c>
      <c r="D79" s="38" t="s">
        <v>203</v>
      </c>
      <c r="E79" s="48">
        <v>437.14872800000001</v>
      </c>
      <c r="F79" s="23">
        <v>-0.66</v>
      </c>
      <c r="G79" s="23">
        <v>-0.66</v>
      </c>
      <c r="H79" s="23" t="s">
        <v>3</v>
      </c>
      <c r="I79" s="25" t="s">
        <v>3</v>
      </c>
      <c r="J79" s="25" t="s">
        <v>3</v>
      </c>
      <c r="K79" s="117" t="s">
        <v>3</v>
      </c>
      <c r="L79" s="15" t="s">
        <v>3</v>
      </c>
      <c r="M79" s="15">
        <f>(437.14859-437.14873)/437.14859*10^6</f>
        <v>-0.32025723790529548</v>
      </c>
      <c r="N79" s="15">
        <f>(437.14841-437.14873)/437.14841*10^6</f>
        <v>-0.73201684523543276</v>
      </c>
      <c r="O79" s="15" t="s">
        <v>3</v>
      </c>
      <c r="P79" s="15" t="s">
        <v>3</v>
      </c>
      <c r="Q79" s="15">
        <f>(437.1492-437.14873)/437.14873*10^6</f>
        <v>1.0751489544692854</v>
      </c>
      <c r="R79" s="15" t="s">
        <v>3</v>
      </c>
      <c r="S79" s="15" t="s">
        <v>3</v>
      </c>
      <c r="T79" s="15" t="s">
        <v>3</v>
      </c>
      <c r="U79" s="15" t="s">
        <v>3</v>
      </c>
      <c r="V79" s="15" t="s">
        <v>3</v>
      </c>
      <c r="W79" s="28" t="s">
        <v>3</v>
      </c>
      <c r="X79" s="28" t="s">
        <v>3</v>
      </c>
      <c r="Y79" s="28" t="s">
        <v>3</v>
      </c>
      <c r="Z79" s="26" t="s">
        <v>3</v>
      </c>
      <c r="AA79" s="29" t="s">
        <v>3</v>
      </c>
      <c r="AB79" s="29" t="s">
        <v>3</v>
      </c>
      <c r="AC79" s="27" t="s">
        <v>3</v>
      </c>
      <c r="AD79" s="27" t="s">
        <v>3</v>
      </c>
      <c r="AE79" s="21" t="s">
        <v>3</v>
      </c>
      <c r="AF79" s="21" t="s">
        <v>3</v>
      </c>
      <c r="AG79" s="21" t="s">
        <v>3</v>
      </c>
      <c r="AH79" s="21" t="s">
        <v>3</v>
      </c>
      <c r="AI79" s="22" t="s">
        <v>3</v>
      </c>
      <c r="AJ79" s="30">
        <v>2.11</v>
      </c>
      <c r="AK79" s="30">
        <v>2.61</v>
      </c>
      <c r="AL79" s="22">
        <v>3.4</v>
      </c>
      <c r="AM79" s="30" t="s">
        <v>3</v>
      </c>
      <c r="AN79" s="65" t="s">
        <v>3</v>
      </c>
      <c r="AO79" s="65" t="s">
        <v>3</v>
      </c>
      <c r="AP79" s="65" t="s">
        <v>3</v>
      </c>
      <c r="AQ79" s="65" t="s">
        <v>3</v>
      </c>
      <c r="AR79" s="65" t="s">
        <v>3</v>
      </c>
      <c r="AS79" s="46" t="s">
        <v>3</v>
      </c>
      <c r="AT79" s="46">
        <f>(437.14481-437.14873)/437.14481*10^6</f>
        <v>-8.9672802017109756</v>
      </c>
      <c r="AU79" s="46" t="s">
        <v>3</v>
      </c>
      <c r="AV79" s="46" t="s">
        <v>3</v>
      </c>
      <c r="AW79" s="53" t="s">
        <v>3</v>
      </c>
      <c r="AX79" s="53" t="s">
        <v>3</v>
      </c>
      <c r="AY79" s="57" t="s">
        <v>3</v>
      </c>
      <c r="AZ79" s="57" t="s">
        <v>3</v>
      </c>
      <c r="BA79" s="121" t="s">
        <v>3</v>
      </c>
    </row>
    <row r="80" spans="1:53" x14ac:dyDescent="0.25">
      <c r="A80" s="38">
        <v>77</v>
      </c>
      <c r="B80" s="139" t="s">
        <v>117</v>
      </c>
      <c r="C80" s="38" t="s">
        <v>138</v>
      </c>
      <c r="D80" s="38" t="s">
        <v>204</v>
      </c>
      <c r="E80" s="48">
        <v>384.17402499999997</v>
      </c>
      <c r="F80" s="23" t="s">
        <v>3</v>
      </c>
      <c r="G80" s="23" t="s">
        <v>3</v>
      </c>
      <c r="H80" s="23" t="s">
        <v>3</v>
      </c>
      <c r="I80" s="25" t="s">
        <v>3</v>
      </c>
      <c r="J80" s="25" t="s">
        <v>3</v>
      </c>
      <c r="K80" s="117" t="s">
        <v>3</v>
      </c>
      <c r="L80" s="15" t="s">
        <v>3</v>
      </c>
      <c r="M80" s="15">
        <f>(384.1738-384.17402)/384.1738*10^6</f>
        <v>-0.57265747939121348</v>
      </c>
      <c r="N80" s="15">
        <f>(384.1738-384.17402)/384.1738*10^6</f>
        <v>-0.57265747939121348</v>
      </c>
      <c r="O80" s="15">
        <f>(384.1741-384.17402)/384.17402*10^6</f>
        <v>0.2082389642729956</v>
      </c>
      <c r="P80" s="15">
        <f>(384.1745-384.17402)/384.1745*10^6</f>
        <v>1.2494322242592149</v>
      </c>
      <c r="Q80" s="15">
        <f>(384.1752-384.17402)/384.17402*10^6</f>
        <v>3.0715247221389088</v>
      </c>
      <c r="R80" s="15">
        <f>(384.1748-384.17402)/384.17402*10^6</f>
        <v>2.0303299010698561</v>
      </c>
      <c r="S80" s="15">
        <f>(384.17371-384.17402)/384.17371*10^6</f>
        <v>-0.80692663731802383</v>
      </c>
      <c r="T80" s="15">
        <f>(384.17419-384.17402)/384.17402*10^6</f>
        <v>0.44250779900613429</v>
      </c>
      <c r="U80" s="15">
        <f>(384.17419-384.17402)/384.17402*10^6</f>
        <v>0.44250779900613429</v>
      </c>
      <c r="V80" s="15">
        <f>(384.17542-384.17402)/384.17402*10^6</f>
        <v>3.6441818735937215</v>
      </c>
      <c r="W80" s="28" t="s">
        <v>3</v>
      </c>
      <c r="X80" s="28" t="s">
        <v>3</v>
      </c>
      <c r="Y80" s="28" t="s">
        <v>3</v>
      </c>
      <c r="Z80" s="26" t="s">
        <v>3</v>
      </c>
      <c r="AA80" s="29" t="s">
        <v>3</v>
      </c>
      <c r="AB80" s="29" t="s">
        <v>3</v>
      </c>
      <c r="AC80" s="27" t="s">
        <v>3</v>
      </c>
      <c r="AD80" s="27" t="s">
        <v>3</v>
      </c>
      <c r="AE80" s="21">
        <f>(384.1729-E80)/384.1729*10^6</f>
        <v>-2.9283689712235699</v>
      </c>
      <c r="AF80" s="21">
        <f>(384.17622-E80)/E80*10^6</f>
        <v>5.7135565061401872</v>
      </c>
      <c r="AG80" s="21" t="s">
        <v>3</v>
      </c>
      <c r="AH80" s="21" t="s">
        <v>3</v>
      </c>
      <c r="AI80" s="22" t="s">
        <v>3</v>
      </c>
      <c r="AJ80" s="30">
        <v>2.85</v>
      </c>
      <c r="AK80" s="22" t="s">
        <v>3</v>
      </c>
      <c r="AL80" s="22">
        <v>1.81</v>
      </c>
      <c r="AM80" s="30" t="s">
        <v>3</v>
      </c>
      <c r="AN80" s="65" t="s">
        <v>3</v>
      </c>
      <c r="AO80" s="65" t="s">
        <v>3</v>
      </c>
      <c r="AP80" s="65" t="s">
        <v>3</v>
      </c>
      <c r="AQ80" s="65" t="s">
        <v>3</v>
      </c>
      <c r="AR80" s="65" t="s">
        <v>3</v>
      </c>
      <c r="AS80" s="46" t="s">
        <v>3</v>
      </c>
      <c r="AT80" s="46" t="s">
        <v>3</v>
      </c>
      <c r="AU80" s="46" t="s">
        <v>3</v>
      </c>
      <c r="AV80" s="46" t="s">
        <v>3</v>
      </c>
      <c r="AW80" s="53" t="s">
        <v>3</v>
      </c>
      <c r="AX80" s="53" t="s">
        <v>3</v>
      </c>
      <c r="AY80" s="57" t="s">
        <v>3</v>
      </c>
      <c r="AZ80" s="57" t="s">
        <v>3</v>
      </c>
      <c r="BA80" s="121" t="s">
        <v>3</v>
      </c>
    </row>
    <row r="81" spans="1:53" x14ac:dyDescent="0.25">
      <c r="A81" s="38">
        <v>78</v>
      </c>
      <c r="B81" s="139" t="s">
        <v>92</v>
      </c>
      <c r="C81" s="38" t="s">
        <v>138</v>
      </c>
      <c r="D81" s="38" t="s">
        <v>205</v>
      </c>
      <c r="E81" s="48">
        <v>296.12159500000001</v>
      </c>
      <c r="F81" s="23" t="s">
        <v>3</v>
      </c>
      <c r="G81" s="23" t="s">
        <v>3</v>
      </c>
      <c r="H81" s="23" t="s">
        <v>3</v>
      </c>
      <c r="I81" s="25" t="s">
        <v>3</v>
      </c>
      <c r="J81" s="25" t="s">
        <v>3</v>
      </c>
      <c r="K81" s="118">
        <v>-3.6809338197360884</v>
      </c>
      <c r="L81" s="15" t="s">
        <v>3</v>
      </c>
      <c r="M81" s="15">
        <f>(296.12131-296.1216)/296.12131*10^6</f>
        <v>-0.97932837054781652</v>
      </c>
      <c r="N81" s="15">
        <f>(296.1214-296.1216)/296.1214*10^6</f>
        <v>-0.67539867097291617</v>
      </c>
      <c r="O81" s="15">
        <f>(296.12119-296.1216)/296.12119*10^6</f>
        <v>-1.3845682573004352</v>
      </c>
      <c r="P81" s="15">
        <f>(296.1214-296.1216)/296.1214*10^6</f>
        <v>-0.67539867097291617</v>
      </c>
      <c r="Q81" s="15">
        <f>(296.12161-296.1216)/296.1216*10^6</f>
        <v>3.3769910654111106E-2</v>
      </c>
      <c r="R81" s="15">
        <f>(296.1214-296.1216)/296.1214*10^6</f>
        <v>-0.67539867097291617</v>
      </c>
      <c r="S81" s="15">
        <f>(296.12119-296.1216)/296.12119*10^6</f>
        <v>-1.3845682573004352</v>
      </c>
      <c r="T81" s="15">
        <f>(296.12119-296.1216)/296.12119*10^6</f>
        <v>-1.3845682573004352</v>
      </c>
      <c r="U81" s="15">
        <f>(296.1214-296.1216)/296.1214*10^6</f>
        <v>-0.67539867097291617</v>
      </c>
      <c r="V81" s="15">
        <f>(296.12079-296.1216)/296.12079*10^6</f>
        <v>-2.735370252123499</v>
      </c>
      <c r="W81" s="28" t="s">
        <v>3</v>
      </c>
      <c r="X81" s="28" t="s">
        <v>3</v>
      </c>
      <c r="Y81" s="28" t="s">
        <v>3</v>
      </c>
      <c r="Z81" s="26" t="s">
        <v>3</v>
      </c>
      <c r="AA81" s="29" t="s">
        <v>3</v>
      </c>
      <c r="AB81" s="29" t="s">
        <v>3</v>
      </c>
      <c r="AC81" s="27" t="s">
        <v>3</v>
      </c>
      <c r="AD81" s="27" t="s">
        <v>3</v>
      </c>
      <c r="AE81" s="21">
        <f>(296.12092-E81)/296.12092*10^6</f>
        <v>-2.2794742093908509</v>
      </c>
      <c r="AF81" s="21">
        <f>(296.12251-E81)/E81*10^6</f>
        <v>3.0899468847031701</v>
      </c>
      <c r="AG81" s="21">
        <f>(296.12136-E81)/296.1236*10^6</f>
        <v>-0.7935875426070722</v>
      </c>
      <c r="AH81" s="21" t="s">
        <v>3</v>
      </c>
      <c r="AI81" s="22" t="s">
        <v>3</v>
      </c>
      <c r="AJ81" s="30">
        <v>4.5199999999999996</v>
      </c>
      <c r="AK81" s="22" t="s">
        <v>3</v>
      </c>
      <c r="AL81" s="22">
        <v>3.36</v>
      </c>
      <c r="AM81" s="30" t="s">
        <v>3</v>
      </c>
      <c r="AN81" s="65" t="s">
        <v>3</v>
      </c>
      <c r="AO81" s="65" t="s">
        <v>3</v>
      </c>
      <c r="AP81" s="65" t="s">
        <v>3</v>
      </c>
      <c r="AQ81" s="65" t="s">
        <v>3</v>
      </c>
      <c r="AR81" s="65" t="s">
        <v>3</v>
      </c>
      <c r="AS81" s="46" t="s">
        <v>3</v>
      </c>
      <c r="AT81" s="46" t="s">
        <v>3</v>
      </c>
      <c r="AU81" s="46" t="s">
        <v>3</v>
      </c>
      <c r="AV81" s="46" t="s">
        <v>3</v>
      </c>
      <c r="AW81" s="53" t="s">
        <v>3</v>
      </c>
      <c r="AX81" s="53" t="s">
        <v>3</v>
      </c>
      <c r="AY81" s="57">
        <f>(296.121459-E81)/296.121459*10^6</f>
        <v>-0.45927100473219507</v>
      </c>
      <c r="AZ81" s="57" t="s">
        <v>3</v>
      </c>
      <c r="BA81" s="121" t="s">
        <v>3</v>
      </c>
    </row>
    <row r="82" spans="1:53" x14ac:dyDescent="0.25">
      <c r="A82" s="38">
        <v>79</v>
      </c>
      <c r="B82" s="139" t="s">
        <v>93</v>
      </c>
      <c r="C82" s="38" t="s">
        <v>138</v>
      </c>
      <c r="D82" s="38" t="s">
        <v>206</v>
      </c>
      <c r="E82" s="48">
        <v>408.12535600000001</v>
      </c>
      <c r="F82" s="23">
        <v>-3.45</v>
      </c>
      <c r="G82" s="23">
        <v>-5.0599999999999996</v>
      </c>
      <c r="H82" s="23" t="s">
        <v>3</v>
      </c>
      <c r="I82" s="25" t="s">
        <v>3</v>
      </c>
      <c r="J82" s="25" t="s">
        <v>3</v>
      </c>
      <c r="K82" s="118">
        <v>-3.1608032175310137</v>
      </c>
      <c r="L82" s="15" t="s">
        <v>3</v>
      </c>
      <c r="M82" s="15">
        <f>(408.12531-408.12536)/408.12531*10^6</f>
        <v>-0.12251139236488168</v>
      </c>
      <c r="N82" s="15">
        <f>(408.12549-408.12536)/408.12536*10^6</f>
        <v>0.31852958123661335</v>
      </c>
      <c r="O82" s="15">
        <f>(408.12479-408.12536)/408.12479*10^6</f>
        <v>-1.3966316527402654</v>
      </c>
      <c r="P82" s="15">
        <f>(408.12451-408.12536)/408.12451*10^6</f>
        <v>-2.0826977532273334</v>
      </c>
      <c r="Q82" s="15">
        <f>(408.12601-408.12536)/408.12536*10^6</f>
        <v>1.5926479060437873</v>
      </c>
      <c r="R82" s="15">
        <f>(408.12479-408.12536)/408.12479*10^6</f>
        <v>-1.3966316527402654</v>
      </c>
      <c r="S82" s="15">
        <f>(408.12521-408.12536)/408.12521*10^6</f>
        <v>-0.36753426728819411</v>
      </c>
      <c r="T82" s="15">
        <f>(408.12451-408.12536)/408.12451*10^6</f>
        <v>-2.0826977532273334</v>
      </c>
      <c r="U82" s="15">
        <f>(408.12509-408.12536)/408.12509*10^6</f>
        <v>-0.661561875552509</v>
      </c>
      <c r="V82" s="15">
        <f>(408.1254-408.12536)/408.12536*10^6</f>
        <v>9.8009101940385548E-2</v>
      </c>
      <c r="W82" s="28">
        <f>(408.1254-408.12536)/408.12536*10^6</f>
        <v>9.8009101940385548E-2</v>
      </c>
      <c r="X82" s="28">
        <f>(408.12549-408.12536)/408.12536*10^6</f>
        <v>0.31852958123661335</v>
      </c>
      <c r="Y82" s="28" t="s">
        <v>3</v>
      </c>
      <c r="Z82" s="26" t="s">
        <v>3</v>
      </c>
      <c r="AA82" s="29">
        <f>(408.12549-408.12536)/408.12536*10^6</f>
        <v>0.31852958123661335</v>
      </c>
      <c r="AB82" s="29" t="s">
        <v>3</v>
      </c>
      <c r="AC82" s="27" t="s">
        <v>3</v>
      </c>
      <c r="AD82" s="27" t="s">
        <v>3</v>
      </c>
      <c r="AE82" s="21">
        <f>(408.12553-E82)/E82*10^6</f>
        <v>0.42633959752169764</v>
      </c>
      <c r="AF82" s="21">
        <f>(408.12676-E82)/E82*10^6</f>
        <v>3.4401195106817442</v>
      </c>
      <c r="AG82" s="21" t="s">
        <v>3</v>
      </c>
      <c r="AH82" s="21" t="s">
        <v>3</v>
      </c>
      <c r="AI82" s="22">
        <v>2.72</v>
      </c>
      <c r="AJ82" s="30">
        <v>-1.1599999999999999</v>
      </c>
      <c r="AK82" s="30">
        <v>2.5499999999999998</v>
      </c>
      <c r="AL82" s="22">
        <v>0.42</v>
      </c>
      <c r="AM82" s="30" t="s">
        <v>3</v>
      </c>
      <c r="AN82" s="65" t="s">
        <v>3</v>
      </c>
      <c r="AO82" s="65" t="s">
        <v>3</v>
      </c>
      <c r="AP82" s="65" t="s">
        <v>3</v>
      </c>
      <c r="AQ82" s="65" t="s">
        <v>3</v>
      </c>
      <c r="AR82" s="65" t="s">
        <v>3</v>
      </c>
      <c r="AS82" s="46" t="s">
        <v>3</v>
      </c>
      <c r="AT82" s="46">
        <f>(408.12469-408.12536)/408.12469*10^6</f>
        <v>-1.6416551520411939</v>
      </c>
      <c r="AU82" s="46" t="s">
        <v>3</v>
      </c>
      <c r="AV82" s="46">
        <f>(408.1243-408.12536)/408.1243*10^6</f>
        <v>-2.5972479462639151</v>
      </c>
      <c r="AW82" s="53" t="s">
        <v>3</v>
      </c>
      <c r="AX82" s="53">
        <f>(408.124977-E82)/408.124977*10^6</f>
        <v>-0.92863711208112387</v>
      </c>
      <c r="AY82" s="57">
        <f>(408.125013-E82)/408.125013*10^6</f>
        <v>-0.84042876339622807</v>
      </c>
      <c r="AZ82" s="57">
        <f>(408.128593-E82)/408.128593*10^6</f>
        <v>7.9313237433791191</v>
      </c>
      <c r="BA82" s="121">
        <f>(408.12587-E82)/408.12587*10^6</f>
        <v>1.259415385772221</v>
      </c>
    </row>
    <row r="83" spans="1:53" x14ac:dyDescent="0.25">
      <c r="A83" s="38">
        <v>80</v>
      </c>
      <c r="B83" s="139" t="s">
        <v>94</v>
      </c>
      <c r="C83" s="38" t="s">
        <v>138</v>
      </c>
      <c r="D83" s="38" t="s">
        <v>207</v>
      </c>
      <c r="E83" s="48">
        <v>304.201954</v>
      </c>
      <c r="F83" s="23" t="s">
        <v>3</v>
      </c>
      <c r="G83" s="23" t="s">
        <v>3</v>
      </c>
      <c r="H83" s="23" t="s">
        <v>3</v>
      </c>
      <c r="I83" s="25" t="s">
        <v>3</v>
      </c>
      <c r="J83" s="25" t="s">
        <v>3</v>
      </c>
      <c r="K83" s="117" t="s">
        <v>3</v>
      </c>
      <c r="L83" s="15" t="s">
        <v>3</v>
      </c>
      <c r="M83" s="15" t="s">
        <v>3</v>
      </c>
      <c r="N83" s="15">
        <f>(304.202-304.20195)/304.20195*10^6</f>
        <v>0.16436449532111472</v>
      </c>
      <c r="O83" s="15">
        <f>(304.2019-304.20195)/304.2019*10^6</f>
        <v>-0.16436452233680646</v>
      </c>
      <c r="P83" s="15">
        <f>(304.20181-304.20195)/304.20181*10^6</f>
        <v>-0.46022079877695166</v>
      </c>
      <c r="Q83" s="15">
        <f>(304.20261-304.20195)/304.20195*10^6</f>
        <v>2.1696113387245521</v>
      </c>
      <c r="R83" s="15">
        <f>(304.2023-304.20195)/304.2023*10^6</f>
        <v>1.1505501436675076</v>
      </c>
      <c r="S83" s="15">
        <f>(304.20081-304.20195)/304.20081*10^6</f>
        <v>-3.7475245382179985</v>
      </c>
      <c r="T83" s="15">
        <f>(304.2019-304.20195)/304.2019*10^6</f>
        <v>-0.16436452233680646</v>
      </c>
      <c r="U83" s="15">
        <f>(304.20181-304.20195)/304.20181*10^6</f>
        <v>-0.46022079877695166</v>
      </c>
      <c r="V83" s="15">
        <f>(304.20181-304.20195)/304.20181*10^6</f>
        <v>-0.46022079877695166</v>
      </c>
      <c r="W83" s="28">
        <f>(304.20221-304.20195)/304.20195*10^6</f>
        <v>0.8546953757819129</v>
      </c>
      <c r="X83" s="28">
        <f>(304.20209-304.20195)/304.20195*10^6</f>
        <v>0.46022058697386553</v>
      </c>
      <c r="Y83" s="28" t="s">
        <v>3</v>
      </c>
      <c r="Z83" s="26">
        <f>(304.2027-304.20195)/304.20195*10^6</f>
        <v>2.465467430377303</v>
      </c>
      <c r="AA83" s="29">
        <f>(304.20181-304.20195)/304.20181*10^6</f>
        <v>-0.46022079877695166</v>
      </c>
      <c r="AB83" s="29"/>
      <c r="AC83" s="27" t="s">
        <v>3</v>
      </c>
      <c r="AD83" s="27" t="s">
        <v>3</v>
      </c>
      <c r="AE83" s="21">
        <f>(304.20235-E83)/E83*10^6</f>
        <v>1.3017667862297084</v>
      </c>
      <c r="AF83" s="21">
        <f>(304.203-E83)/E83*10^6</f>
        <v>3.4385051976816068</v>
      </c>
      <c r="AG83" s="21" t="s">
        <v>3</v>
      </c>
      <c r="AH83" s="21" t="s">
        <v>3</v>
      </c>
      <c r="AI83" s="22">
        <v>2.85</v>
      </c>
      <c r="AJ83" s="30">
        <v>1.92</v>
      </c>
      <c r="AK83" s="30">
        <v>2.46</v>
      </c>
      <c r="AL83" s="22">
        <v>0.14000000000000001</v>
      </c>
      <c r="AM83" s="30" t="s">
        <v>3</v>
      </c>
      <c r="AN83" s="65" t="s">
        <v>3</v>
      </c>
      <c r="AO83" s="65" t="s">
        <v>3</v>
      </c>
      <c r="AP83" s="65" t="s">
        <v>3</v>
      </c>
      <c r="AQ83" s="65" t="s">
        <v>3</v>
      </c>
      <c r="AR83" s="65" t="s">
        <v>3</v>
      </c>
      <c r="AS83" s="46" t="s">
        <v>3</v>
      </c>
      <c r="AT83" s="46" t="s">
        <v>3</v>
      </c>
      <c r="AU83" s="46" t="s">
        <v>3</v>
      </c>
      <c r="AV83" s="46" t="s">
        <v>3</v>
      </c>
      <c r="AW83" s="53" t="s">
        <v>3</v>
      </c>
      <c r="AX83" s="53" t="s">
        <v>3</v>
      </c>
      <c r="AY83" s="57" t="s">
        <v>3</v>
      </c>
      <c r="AZ83" s="57" t="s">
        <v>3</v>
      </c>
      <c r="BA83" s="121">
        <f>(304.20226-E83)/304.20226*10^6</f>
        <v>1.0059096866119013</v>
      </c>
    </row>
    <row r="84" spans="1:53" x14ac:dyDescent="0.25">
      <c r="A84" s="38">
        <v>81</v>
      </c>
      <c r="B84" s="139" t="s">
        <v>54</v>
      </c>
      <c r="C84" s="38" t="s">
        <v>138</v>
      </c>
      <c r="D84" s="38" t="s">
        <v>208</v>
      </c>
      <c r="E84" s="48">
        <v>346.12198899999999</v>
      </c>
      <c r="F84" s="23" t="s">
        <v>3</v>
      </c>
      <c r="G84" s="23" t="s">
        <v>3</v>
      </c>
      <c r="H84" s="23" t="s">
        <v>3</v>
      </c>
      <c r="I84" s="25" t="s">
        <v>3</v>
      </c>
      <c r="J84" s="25" t="s">
        <v>3</v>
      </c>
      <c r="K84" s="117" t="s">
        <v>3</v>
      </c>
      <c r="L84" s="15" t="s">
        <v>3</v>
      </c>
      <c r="M84" s="15" t="s">
        <v>3</v>
      </c>
      <c r="N84" s="15">
        <f>(346.1228-346.12199)/346.12199*10^6</f>
        <v>2.3402153674238084</v>
      </c>
      <c r="O84" s="15">
        <f>(346.12241-346.12199)/346.12199*10^6</f>
        <v>1.2134450053856067</v>
      </c>
      <c r="P84" s="15" t="s">
        <v>3</v>
      </c>
      <c r="Q84" s="15" t="s">
        <v>3</v>
      </c>
      <c r="R84" s="15" t="s">
        <v>3</v>
      </c>
      <c r="S84" s="15">
        <f>(346.1221-346.12199)/346.12199*10^6</f>
        <v>0.3178070252239501</v>
      </c>
      <c r="T84" s="15">
        <f>(346.1218-346.12199)/346.1218*10^6</f>
        <v>-0.54893970843513307</v>
      </c>
      <c r="U84" s="15">
        <f>(346.12091-346.12199)/346.12091*10^6</f>
        <v>-3.1202968927873971</v>
      </c>
      <c r="V84" s="15" t="s">
        <v>3</v>
      </c>
      <c r="W84" s="28" t="s">
        <v>3</v>
      </c>
      <c r="X84" s="28" t="s">
        <v>3</v>
      </c>
      <c r="Y84" s="28" t="s">
        <v>3</v>
      </c>
      <c r="Z84" s="26" t="s">
        <v>3</v>
      </c>
      <c r="AA84" s="29" t="s">
        <v>3</v>
      </c>
      <c r="AB84" s="29" t="s">
        <v>3</v>
      </c>
      <c r="AC84" s="27" t="s">
        <v>3</v>
      </c>
      <c r="AD84" s="27" t="s">
        <v>3</v>
      </c>
      <c r="AE84" s="21">
        <f>(346.12239-E84)/E84*10^6</f>
        <v>1.1585510679899447</v>
      </c>
      <c r="AF84" s="21">
        <f>(346.12202-E84)/E84*10^6</f>
        <v>8.9563798373467007E-2</v>
      </c>
      <c r="AG84" s="21">
        <f>(346.12053-E84)/346.12025*10^6</f>
        <v>-4.2152980070111514</v>
      </c>
      <c r="AH84" s="21" t="s">
        <v>3</v>
      </c>
      <c r="AI84" s="22" t="s">
        <v>3</v>
      </c>
      <c r="AJ84" s="30">
        <v>1.25</v>
      </c>
      <c r="AK84" s="30">
        <v>1.27</v>
      </c>
      <c r="AL84" s="22">
        <v>3.12</v>
      </c>
      <c r="AM84" s="30" t="s">
        <v>3</v>
      </c>
      <c r="AN84" s="65" t="s">
        <v>3</v>
      </c>
      <c r="AO84" s="65" t="s">
        <v>3</v>
      </c>
      <c r="AP84" s="65" t="s">
        <v>3</v>
      </c>
      <c r="AQ84" s="65" t="s">
        <v>3</v>
      </c>
      <c r="AR84" s="65" t="s">
        <v>3</v>
      </c>
      <c r="AS84" s="46" t="s">
        <v>3</v>
      </c>
      <c r="AT84" s="46" t="s">
        <v>3</v>
      </c>
      <c r="AU84" s="46" t="s">
        <v>3</v>
      </c>
      <c r="AV84" s="46" t="s">
        <v>3</v>
      </c>
      <c r="AW84" s="53" t="s">
        <v>3</v>
      </c>
      <c r="AX84" s="53" t="s">
        <v>3</v>
      </c>
      <c r="AY84" s="57" t="s">
        <v>3</v>
      </c>
      <c r="AZ84" s="57" t="s">
        <v>3</v>
      </c>
      <c r="BA84" s="121">
        <f>(346.12299-E84)/346.12299*10^6</f>
        <v>2.8920355739174441</v>
      </c>
    </row>
    <row r="85" spans="1:53" x14ac:dyDescent="0.25">
      <c r="A85" s="38">
        <v>82</v>
      </c>
      <c r="B85" s="139" t="s">
        <v>54</v>
      </c>
      <c r="C85" s="38" t="s">
        <v>139</v>
      </c>
      <c r="D85" s="38" t="s">
        <v>208</v>
      </c>
      <c r="E85" s="48">
        <v>344.10743600000001</v>
      </c>
      <c r="F85" s="23" t="s">
        <v>564</v>
      </c>
      <c r="G85" s="23" t="s">
        <v>564</v>
      </c>
      <c r="H85" s="23" t="s">
        <v>564</v>
      </c>
      <c r="I85" s="25" t="s">
        <v>3</v>
      </c>
      <c r="J85" s="25" t="s">
        <v>3</v>
      </c>
      <c r="K85" s="117" t="s">
        <v>3</v>
      </c>
      <c r="L85" s="15" t="s">
        <v>3</v>
      </c>
      <c r="M85" s="15" t="s">
        <v>3</v>
      </c>
      <c r="N85" s="15" t="s">
        <v>3</v>
      </c>
      <c r="O85" s="15" t="s">
        <v>3</v>
      </c>
      <c r="P85" s="15" t="s">
        <v>3</v>
      </c>
      <c r="Q85" s="15" t="s">
        <v>3</v>
      </c>
      <c r="R85" s="15" t="s">
        <v>3</v>
      </c>
      <c r="S85" s="15" t="s">
        <v>3</v>
      </c>
      <c r="T85" s="15" t="s">
        <v>3</v>
      </c>
      <c r="U85" s="15" t="s">
        <v>3</v>
      </c>
      <c r="V85" s="15" t="s">
        <v>3</v>
      </c>
      <c r="W85" s="20" t="s">
        <v>564</v>
      </c>
      <c r="X85" s="20" t="s">
        <v>564</v>
      </c>
      <c r="Y85" s="20" t="s">
        <v>564</v>
      </c>
      <c r="Z85" s="26" t="s">
        <v>3</v>
      </c>
      <c r="AA85" s="29" t="s">
        <v>3</v>
      </c>
      <c r="AB85" s="29" t="s">
        <v>3</v>
      </c>
      <c r="AC85" s="27" t="s">
        <v>3</v>
      </c>
      <c r="AD85" s="27" t="s">
        <v>3</v>
      </c>
      <c r="AE85" s="21" t="s">
        <v>3</v>
      </c>
      <c r="AF85" s="21" t="s">
        <v>3</v>
      </c>
      <c r="AG85" s="21" t="s">
        <v>3</v>
      </c>
      <c r="AH85" s="21" t="s">
        <v>3</v>
      </c>
      <c r="AI85" s="22" t="s">
        <v>3</v>
      </c>
      <c r="AJ85" s="22" t="s">
        <v>564</v>
      </c>
      <c r="AK85" s="22" t="s">
        <v>3</v>
      </c>
      <c r="AL85" s="22" t="s">
        <v>3</v>
      </c>
      <c r="AM85" s="22" t="s">
        <v>564</v>
      </c>
      <c r="AN85" s="65" t="s">
        <v>564</v>
      </c>
      <c r="AO85" s="65" t="s">
        <v>564</v>
      </c>
      <c r="AP85" s="65" t="s">
        <v>564</v>
      </c>
      <c r="AQ85" s="65" t="s">
        <v>564</v>
      </c>
      <c r="AR85" s="65" t="s">
        <v>564</v>
      </c>
      <c r="AS85" s="46" t="s">
        <v>3</v>
      </c>
      <c r="AT85" s="46" t="s">
        <v>3</v>
      </c>
      <c r="AU85" s="46" t="s">
        <v>3</v>
      </c>
      <c r="AV85" s="46" t="s">
        <v>3</v>
      </c>
      <c r="AW85" s="53" t="s">
        <v>3</v>
      </c>
      <c r="AX85" s="53" t="s">
        <v>3</v>
      </c>
      <c r="AY85" s="57" t="s">
        <v>3</v>
      </c>
      <c r="AZ85" s="57" t="s">
        <v>3</v>
      </c>
      <c r="BA85" s="121" t="s">
        <v>3</v>
      </c>
    </row>
    <row r="86" spans="1:53" x14ac:dyDescent="0.25">
      <c r="A86" s="38">
        <v>83</v>
      </c>
      <c r="B86" s="139" t="s">
        <v>95</v>
      </c>
      <c r="C86" s="38" t="s">
        <v>138</v>
      </c>
      <c r="D86" s="38" t="s">
        <v>209</v>
      </c>
      <c r="E86" s="48">
        <v>316.111424</v>
      </c>
      <c r="F86" s="23">
        <v>-5.66</v>
      </c>
      <c r="G86" s="23">
        <v>-6.2</v>
      </c>
      <c r="H86" s="23" t="s">
        <v>3</v>
      </c>
      <c r="I86" s="25" t="s">
        <v>3</v>
      </c>
      <c r="J86" s="25" t="s">
        <v>3</v>
      </c>
      <c r="K86" s="117" t="s">
        <v>3</v>
      </c>
      <c r="L86" s="15" t="s">
        <v>3</v>
      </c>
      <c r="M86" s="15">
        <f>(316.1116-316.1114)/316.1114*10^6</f>
        <v>0.63268834976099975</v>
      </c>
      <c r="N86" s="15">
        <f>(316.1116-316.1114)/316.1114*10^6</f>
        <v>0.63268834976099975</v>
      </c>
      <c r="O86" s="15">
        <f>(316.11151-316.1114)/316.1114*10^6</f>
        <v>0.34797859237754097</v>
      </c>
      <c r="P86" s="15">
        <f>(316.11169-316.1114)/316.1114*10^6</f>
        <v>0.91739810714445857</v>
      </c>
      <c r="Q86" s="15">
        <f>(316.11209-316.1114)/316.1114*10^6</f>
        <v>2.1827748066664583</v>
      </c>
      <c r="R86" s="15">
        <f>(316.1116-316.1114)/316.1114*10^6</f>
        <v>0.63268834976099975</v>
      </c>
      <c r="S86" s="15">
        <f>(316.11139-316.1114)/316.11139*10^6</f>
        <v>-3.1634418587687861E-2</v>
      </c>
      <c r="T86" s="15">
        <f>(316.1109-316.1114)/316.1109*10^6</f>
        <v>-1.5817233761574705</v>
      </c>
      <c r="U86" s="15">
        <f>(316.11081-316.1114)/316.11081*10^6</f>
        <v>-1.8664341152658528</v>
      </c>
      <c r="V86" s="15">
        <f>(316.11151-316.1114)/316.1114*10^6</f>
        <v>0.34797859237754097</v>
      </c>
      <c r="W86" s="28">
        <f>(316.10931-316.1114)/316.10931*10^6</f>
        <v>-6.6116369682680185</v>
      </c>
      <c r="X86" s="28">
        <f>(316.10941-316.1114)/316.10941*10^6</f>
        <v>-6.2952887102536863</v>
      </c>
      <c r="Y86" s="28" t="s">
        <v>3</v>
      </c>
      <c r="Z86" s="26">
        <f>(316.10941-316.1114)/316.10941*10^6</f>
        <v>-6.2952887102536863</v>
      </c>
      <c r="AA86" s="29">
        <f>(316.1116-316.1114)/316.1114*10^6</f>
        <v>0.63268834976099975</v>
      </c>
      <c r="AB86" s="29" t="s">
        <v>3</v>
      </c>
      <c r="AC86" s="27">
        <f>(316.11209-316.1114)/316.1114*10^6</f>
        <v>2.1827748066664583</v>
      </c>
      <c r="AD86" s="27" t="s">
        <v>3</v>
      </c>
      <c r="AE86" s="21" t="s">
        <v>3</v>
      </c>
      <c r="AF86" s="21" t="s">
        <v>3</v>
      </c>
      <c r="AG86" s="21" t="s">
        <v>3</v>
      </c>
      <c r="AH86" s="21" t="s">
        <v>3</v>
      </c>
      <c r="AI86" s="22">
        <v>2.72</v>
      </c>
      <c r="AJ86" s="30">
        <v>2.15</v>
      </c>
      <c r="AK86" s="30">
        <v>2.9</v>
      </c>
      <c r="AL86" s="22">
        <v>2.35</v>
      </c>
      <c r="AM86" s="30" t="s">
        <v>3</v>
      </c>
      <c r="AN86" s="65" t="s">
        <v>3</v>
      </c>
      <c r="AO86" s="65" t="s">
        <v>3</v>
      </c>
      <c r="AP86" s="65" t="s">
        <v>3</v>
      </c>
      <c r="AQ86" s="65" t="s">
        <v>3</v>
      </c>
      <c r="AR86" s="65" t="s">
        <v>3</v>
      </c>
      <c r="AS86" s="46" t="s">
        <v>3</v>
      </c>
      <c r="AT86" s="46" t="s">
        <v>3</v>
      </c>
      <c r="AU86" s="46" t="s">
        <v>3</v>
      </c>
      <c r="AV86" s="46" t="s">
        <v>3</v>
      </c>
      <c r="AW86" s="53" t="s">
        <v>3</v>
      </c>
      <c r="AX86" s="53" t="s">
        <v>3</v>
      </c>
      <c r="AY86" s="57" t="s">
        <v>3</v>
      </c>
      <c r="AZ86" s="57">
        <f>(316.113581-E86)/316.113581*10^6</f>
        <v>6.8234967734937859</v>
      </c>
      <c r="BA86" s="121">
        <f>(316.11166-E86)/316.11166*10^6</f>
        <v>0.74657163855515962</v>
      </c>
    </row>
    <row r="87" spans="1:53" x14ac:dyDescent="0.25">
      <c r="A87" s="38">
        <v>84</v>
      </c>
      <c r="B87" s="139" t="s">
        <v>55</v>
      </c>
      <c r="C87" s="38" t="s">
        <v>138</v>
      </c>
      <c r="D87" s="38" t="s">
        <v>210</v>
      </c>
      <c r="E87" s="48">
        <v>436.23431599999998</v>
      </c>
      <c r="F87" s="23">
        <v>1.6</v>
      </c>
      <c r="G87" s="23">
        <v>1.6</v>
      </c>
      <c r="H87" s="23">
        <f>(436.23499-E87)/E87*10^6</f>
        <v>1.5450412204701847</v>
      </c>
      <c r="I87" s="25" t="s">
        <v>3</v>
      </c>
      <c r="J87" s="25" t="s">
        <v>3</v>
      </c>
      <c r="K87" s="118">
        <v>2.292346102714167E-2</v>
      </c>
      <c r="L87" s="15" t="s">
        <v>3</v>
      </c>
      <c r="M87" s="15">
        <f>(436.2345-436.23432)/436.23432*10^6</f>
        <v>0.41262228061352679</v>
      </c>
      <c r="N87" s="15">
        <f>(436.23389-436.23432)/436.23389*10^6</f>
        <v>-0.98570975320423349</v>
      </c>
      <c r="O87" s="15">
        <f>(436.23441-436.23432)/436.23432*10^6</f>
        <v>0.2063111403067634</v>
      </c>
      <c r="P87" s="15">
        <f>(436.23431-436.23432)/436.23431*10^6</f>
        <v>-2.2923460631961403E-2</v>
      </c>
      <c r="Q87" s="15">
        <f>(436.23489-436.23432)/436.23432*10^6</f>
        <v>1.3066372218993998</v>
      </c>
      <c r="R87" s="15">
        <f>(436.23459-436.23432)/436.23432*10^6</f>
        <v>0.61893342092029013</v>
      </c>
      <c r="S87" s="15">
        <f>(436.23441-436.23432)/436.23432*10^6</f>
        <v>0.2063111403067634</v>
      </c>
      <c r="T87" s="15">
        <f>(436.23431-436.23432)/436.23431*10^6</f>
        <v>-2.2923460631961403E-2</v>
      </c>
      <c r="U87" s="15">
        <f>(436.23419-436.23432)/436.23419*10^6</f>
        <v>-0.29800506927905412</v>
      </c>
      <c r="V87" s="15">
        <f>(436.23401-436.23432)/436.23401*10^6</f>
        <v>-0.71062776607704914</v>
      </c>
      <c r="W87" s="28" t="s">
        <v>3</v>
      </c>
      <c r="X87" s="28">
        <f>(436.23431-436.23432)/436.23431*10^6</f>
        <v>-2.2923460631961403E-2</v>
      </c>
      <c r="Y87" s="28" t="s">
        <v>3</v>
      </c>
      <c r="Z87" s="26">
        <f>(436.23599-436.23432)/436.23432*10^6</f>
        <v>3.828217825663208</v>
      </c>
      <c r="AA87" s="29">
        <f>(436.23431-436.23432)/436.23431*10^6</f>
        <v>-2.2923460631961403E-2</v>
      </c>
      <c r="AB87" s="29">
        <f>(436.23419-436.23432)/436.23419*10^6</f>
        <v>-0.29800506927905412</v>
      </c>
      <c r="AC87" s="27">
        <f>(436.23419-436.23432)/436.23419*10^6</f>
        <v>-0.29800506927905412</v>
      </c>
      <c r="AD87" s="27" t="s">
        <v>3</v>
      </c>
      <c r="AE87" s="21">
        <f>(436.23493-E87)/E87*10^6</f>
        <v>1.4075004590913816</v>
      </c>
      <c r="AF87" s="21">
        <f>(436.23451-E87)/E87*10^6</f>
        <v>0.4447151287882356</v>
      </c>
      <c r="AG87" s="21" t="s">
        <v>3</v>
      </c>
      <c r="AH87" s="21" t="s">
        <v>3</v>
      </c>
      <c r="AI87" s="22" t="s">
        <v>3</v>
      </c>
      <c r="AJ87" s="30">
        <v>0.15</v>
      </c>
      <c r="AK87" s="30">
        <v>2.25</v>
      </c>
      <c r="AL87" s="22">
        <v>0.28999999999999998</v>
      </c>
      <c r="AM87" s="30" t="s">
        <v>3</v>
      </c>
      <c r="AN87" s="66">
        <f>(436.233621393104-E87)/MIN(436.233621393104,E87)*10^6</f>
        <v>-1.5922818919191322</v>
      </c>
      <c r="AO87" s="66" t="s">
        <v>3</v>
      </c>
      <c r="AP87" s="66" t="s">
        <v>3</v>
      </c>
      <c r="AQ87" s="66" t="s">
        <v>3</v>
      </c>
      <c r="AR87" s="66">
        <f>(436.234430783366-E87)/MIN(436.234430783366,E87)*10^6</f>
        <v>0.2631231927883666</v>
      </c>
      <c r="AS87" s="46" t="s">
        <v>3</v>
      </c>
      <c r="AT87" s="46">
        <f>(436.23419-436.23432)/436.23419*10^6</f>
        <v>-0.29800506927905412</v>
      </c>
      <c r="AU87" s="46" t="s">
        <v>3</v>
      </c>
      <c r="AV87" s="46" t="s">
        <v>3</v>
      </c>
      <c r="AW87" s="53">
        <f>(436.233808-E87)/436.233808*10^6</f>
        <v>-1.1645131364233432</v>
      </c>
      <c r="AX87" s="53" t="s">
        <v>3</v>
      </c>
      <c r="AY87" s="57">
        <f>(436.23409-E87)/436.23409*10^6</f>
        <v>-0.51807046991178296</v>
      </c>
      <c r="AZ87" s="57">
        <f>(436.238204-E87)/436.238204*10^6</f>
        <v>8.9125619085339327</v>
      </c>
      <c r="BA87" s="121">
        <f>(436.23514-E87)/436.23514*10^6</f>
        <v>1.8888895562673069</v>
      </c>
    </row>
    <row r="88" spans="1:53" x14ac:dyDescent="0.25">
      <c r="A88" s="38">
        <v>85</v>
      </c>
      <c r="B88" s="139" t="s">
        <v>55</v>
      </c>
      <c r="C88" s="38" t="s">
        <v>139</v>
      </c>
      <c r="D88" s="38" t="s">
        <v>210</v>
      </c>
      <c r="E88" s="48">
        <v>434.219763</v>
      </c>
      <c r="F88" s="23" t="s">
        <v>564</v>
      </c>
      <c r="G88" s="23" t="s">
        <v>564</v>
      </c>
      <c r="H88" s="23" t="s">
        <v>564</v>
      </c>
      <c r="I88" s="25" t="s">
        <v>3</v>
      </c>
      <c r="J88" s="25" t="s">
        <v>3</v>
      </c>
      <c r="K88" s="117">
        <v>0.39</v>
      </c>
      <c r="L88" s="15" t="s">
        <v>3</v>
      </c>
      <c r="M88" s="15">
        <f>(434.21811-434.2198)/434.21811*10^6</f>
        <v>-3.892053235634084</v>
      </c>
      <c r="N88" s="15">
        <f>(434.2186-434.2198)/434.2186*10^6</f>
        <v>-2.76358497779652</v>
      </c>
      <c r="O88" s="15">
        <f>(434.21851-434.2198)/434.21851*10^6</f>
        <v>-2.9708544668903714</v>
      </c>
      <c r="P88" s="15">
        <f>(434.21851-434.2198)/434.21851*10^6</f>
        <v>-2.9708544668903714</v>
      </c>
      <c r="Q88" s="15">
        <f>(434.2186-434.2198)/434.2186*10^6</f>
        <v>-2.76358497779652</v>
      </c>
      <c r="R88" s="15">
        <f>(434.21829-434.2198)/434.21829*10^6</f>
        <v>-3.4775135796240306</v>
      </c>
      <c r="S88" s="15">
        <f>(434.21841-434.2198)/434.21841*10^6</f>
        <v>-3.2011539999303098</v>
      </c>
      <c r="T88" s="15">
        <f>(434.21851-434.2198)/434.21851*10^6</f>
        <v>-2.9708544668903714</v>
      </c>
      <c r="U88" s="15">
        <f>(434.21841-434.2198)/434.21841*10^6</f>
        <v>-3.2011539999303098</v>
      </c>
      <c r="V88" s="15">
        <f>(434.22461-434.2198)/434.22461*10^6</f>
        <v>11.077216466297397</v>
      </c>
      <c r="W88" s="20" t="s">
        <v>564</v>
      </c>
      <c r="X88" s="20" t="s">
        <v>564</v>
      </c>
      <c r="Y88" s="20" t="s">
        <v>564</v>
      </c>
      <c r="Z88" s="26">
        <f>(434.2186-434.2198)/434.2186*10^6</f>
        <v>-2.76358497779652</v>
      </c>
      <c r="AA88" s="29" t="s">
        <v>3</v>
      </c>
      <c r="AB88" s="29" t="s">
        <v>3</v>
      </c>
      <c r="AC88" s="27">
        <f>(434.21979-434.2198)/434.21979*10^6</f>
        <v>-2.3029811772503152E-2</v>
      </c>
      <c r="AD88" s="27" t="s">
        <v>3</v>
      </c>
      <c r="AE88" s="21" t="s">
        <v>3</v>
      </c>
      <c r="AF88" s="21" t="s">
        <v>3</v>
      </c>
      <c r="AG88" s="21" t="s">
        <v>3</v>
      </c>
      <c r="AH88" s="21" t="s">
        <v>3</v>
      </c>
      <c r="AI88" s="22">
        <v>-0.71</v>
      </c>
      <c r="AJ88" s="22" t="s">
        <v>564</v>
      </c>
      <c r="AK88" s="30">
        <v>-4.71</v>
      </c>
      <c r="AL88" s="22">
        <v>-1.5</v>
      </c>
      <c r="AM88" s="22" t="s">
        <v>564</v>
      </c>
      <c r="AN88" s="65" t="s">
        <v>564</v>
      </c>
      <c r="AO88" s="65" t="s">
        <v>564</v>
      </c>
      <c r="AP88" s="65" t="s">
        <v>564</v>
      </c>
      <c r="AQ88" s="65" t="s">
        <v>564</v>
      </c>
      <c r="AR88" s="65" t="s">
        <v>564</v>
      </c>
      <c r="AS88" s="46" t="s">
        <v>3</v>
      </c>
      <c r="AT88" s="46">
        <f>(434.22339-E88)/E88*10^6</f>
        <v>8.3529132228707326</v>
      </c>
      <c r="AU88" s="46" t="s">
        <v>3</v>
      </c>
      <c r="AV88" s="46" t="s">
        <v>3</v>
      </c>
      <c r="AW88" s="53" t="s">
        <v>3</v>
      </c>
      <c r="AX88" s="53" t="s">
        <v>3</v>
      </c>
      <c r="AY88" s="57" t="s">
        <v>3</v>
      </c>
      <c r="AZ88" s="57" t="s">
        <v>3</v>
      </c>
      <c r="BA88" s="121">
        <f>(434.219518-E88)/434.219518*10^6</f>
        <v>-0.56423074009932472</v>
      </c>
    </row>
    <row r="89" spans="1:53" x14ac:dyDescent="0.25">
      <c r="A89" s="38">
        <v>86</v>
      </c>
      <c r="B89" s="139" t="s">
        <v>96</v>
      </c>
      <c r="C89" s="38" t="s">
        <v>138</v>
      </c>
      <c r="D89" s="38" t="s">
        <v>211</v>
      </c>
      <c r="E89" s="48">
        <v>267.08765199999999</v>
      </c>
      <c r="F89" s="23">
        <v>2.89</v>
      </c>
      <c r="G89" s="23">
        <v>-4.03</v>
      </c>
      <c r="H89" s="23" t="s">
        <v>3</v>
      </c>
      <c r="I89" s="25" t="s">
        <v>3</v>
      </c>
      <c r="J89" s="25" t="s">
        <v>3</v>
      </c>
      <c r="K89" s="117" t="s">
        <v>3</v>
      </c>
      <c r="L89" s="15" t="s">
        <v>3</v>
      </c>
      <c r="M89" s="15">
        <f>(267.0878-267.08765)/267.08765*10^6</f>
        <v>0.56161338803643801</v>
      </c>
      <c r="N89" s="15">
        <f>(267.0878-267.08765)/267.08765*10^6</f>
        <v>0.56161338803643801</v>
      </c>
      <c r="O89" s="15">
        <f>(267.0878-267.08765)/267.08765*10^6</f>
        <v>0.56161338803643801</v>
      </c>
      <c r="P89" s="15">
        <f>(267.08801-267.08765)/267.08765*10^6</f>
        <v>1.3478721311171897</v>
      </c>
      <c r="Q89" s="15">
        <f>(267.08801-267.08765)/267.08765*10^6</f>
        <v>1.3478721311171897</v>
      </c>
      <c r="R89" s="15">
        <f>(267.0881-267.08765)/267.08765*10^6</f>
        <v>1.6848401638964872</v>
      </c>
      <c r="S89" s="15">
        <f>(267.08801-267.08765)/267.08765*10^6</f>
        <v>1.3478721311171897</v>
      </c>
      <c r="T89" s="15">
        <f>(267.08789-267.08765)/267.08765*10^6</f>
        <v>0.89858142081573544</v>
      </c>
      <c r="U89" s="15">
        <f>(267.0878-267.08765)/267.08765*10^6</f>
        <v>0.56161338803643801</v>
      </c>
      <c r="V89" s="15">
        <f>(267.0881-267.08765)/267.08765*10^6</f>
        <v>1.6848401638964872</v>
      </c>
      <c r="W89" s="28" t="s">
        <v>3</v>
      </c>
      <c r="X89" s="28" t="s">
        <v>3</v>
      </c>
      <c r="Y89" s="28" t="s">
        <v>3</v>
      </c>
      <c r="Z89" s="26">
        <f>(267.08859-267.08765)/267.08765*10^6</f>
        <v>3.5194438979644014</v>
      </c>
      <c r="AA89" s="29">
        <f>(267.0878-267.08765)/267.08765*10^6</f>
        <v>0.56161338803643801</v>
      </c>
      <c r="AB89" s="29">
        <f>(267.08759-267.08765)/267.08759*10^6</f>
        <v>-0.22464540572268757</v>
      </c>
      <c r="AC89" s="27">
        <f>(267.08749-267.08765)/267.08749*10^6</f>
        <v>-0.59905463933912728</v>
      </c>
      <c r="AD89" s="27">
        <f>(267.08621-267.08765)/267.08621*10^6</f>
        <v>-5.3915175927739902</v>
      </c>
      <c r="AE89" s="21" t="s">
        <v>3</v>
      </c>
      <c r="AF89" s="21">
        <f>(267.0879-E89)/E89*10^6</f>
        <v>0.92853412781186084</v>
      </c>
      <c r="AG89" s="21" t="s">
        <v>3</v>
      </c>
      <c r="AH89" s="21">
        <f>(267.08755-E89)/267.08755*10^6</f>
        <v>-0.38189724668876712</v>
      </c>
      <c r="AI89" s="22">
        <v>3.48</v>
      </c>
      <c r="AJ89" s="30">
        <v>-4.3600000000000003</v>
      </c>
      <c r="AK89" s="30">
        <v>2.69</v>
      </c>
      <c r="AL89" s="22">
        <v>-1.28</v>
      </c>
      <c r="AM89" s="30" t="s">
        <v>3</v>
      </c>
      <c r="AN89" s="65" t="s">
        <v>3</v>
      </c>
      <c r="AO89" s="65" t="s">
        <v>3</v>
      </c>
      <c r="AP89" s="65" t="s">
        <v>3</v>
      </c>
      <c r="AQ89" s="65" t="s">
        <v>3</v>
      </c>
      <c r="AR89" s="65" t="s">
        <v>3</v>
      </c>
      <c r="AS89" s="46">
        <f>(267.08899-E89)/E89*10^6</f>
        <v>5.0095913832530146</v>
      </c>
      <c r="AT89" s="46">
        <f>(267.0864-267.08765)/267.0864*10^6</f>
        <v>-4.6801334698076777</v>
      </c>
      <c r="AU89" s="46" t="s">
        <v>3</v>
      </c>
      <c r="AV89" s="46">
        <f>(267.08771-E89)/E89*10^6</f>
        <v>0.21715717514374022</v>
      </c>
      <c r="AW89" s="53" t="s">
        <v>3</v>
      </c>
      <c r="AX89" s="53" t="s">
        <v>3</v>
      </c>
      <c r="AY89" s="57" t="s">
        <v>3</v>
      </c>
      <c r="AZ89" s="57" t="s">
        <v>3</v>
      </c>
      <c r="BA89" s="121" t="s">
        <v>3</v>
      </c>
    </row>
    <row r="90" spans="1:53" x14ac:dyDescent="0.25">
      <c r="A90" s="38">
        <v>87</v>
      </c>
      <c r="B90" s="139" t="s">
        <v>98</v>
      </c>
      <c r="C90" s="38" t="s">
        <v>138</v>
      </c>
      <c r="D90" s="38" t="s">
        <v>212</v>
      </c>
      <c r="E90" s="48">
        <v>172.133205</v>
      </c>
      <c r="F90" s="23">
        <v>-3.92</v>
      </c>
      <c r="G90" s="23">
        <v>-1.71</v>
      </c>
      <c r="H90" s="23" t="s">
        <v>3</v>
      </c>
      <c r="I90" s="25" t="s">
        <v>3</v>
      </c>
      <c r="J90" s="25" t="s">
        <v>3</v>
      </c>
      <c r="K90" s="117" t="s">
        <v>3</v>
      </c>
      <c r="L90" s="15" t="s">
        <v>3</v>
      </c>
      <c r="M90" s="15">
        <f>(172.1329-172.13321)/172.1329*10^6</f>
        <v>-1.8009340456398013</v>
      </c>
      <c r="N90" s="15">
        <f>(172.1331-172.13321)/172.1331*10^6</f>
        <v>-0.63904037037659855</v>
      </c>
      <c r="O90" s="15">
        <f>(172.1331-172.13321)/172.1331*10^6</f>
        <v>-0.63904037037659855</v>
      </c>
      <c r="P90" s="15">
        <f>(172.1331-172.13321)/172.1331*10^6</f>
        <v>-0.63904037037659855</v>
      </c>
      <c r="Q90" s="15">
        <f>(172.133-172.13321)/172.133*10^6</f>
        <v>-1.2199868705093835</v>
      </c>
      <c r="R90" s="15">
        <f>(172.133-172.13321)/172.133*10^6</f>
        <v>-1.2199868705093835</v>
      </c>
      <c r="S90" s="15">
        <f>(172.1331-172.13321)/172.1331*10^6</f>
        <v>-0.63904037037659855</v>
      </c>
      <c r="T90" s="15">
        <f>(172.1331-172.13321)/172.1331*10^6</f>
        <v>-0.63904037037659855</v>
      </c>
      <c r="U90" s="15">
        <f>(172.1331-172.13321)/172.1331*10^6</f>
        <v>-0.63904037037659855</v>
      </c>
      <c r="V90" s="15">
        <f>(172.13319-172.13321)/172.13319*10^6</f>
        <v>-0.11618909739560722</v>
      </c>
      <c r="W90" s="28">
        <f>(172.13319-172.13321)/172.13319*10^6</f>
        <v>-0.11618909739560722</v>
      </c>
      <c r="X90" s="28">
        <f>(172.13319-172.13321)/172.13319*10^6</f>
        <v>-0.11618909739560722</v>
      </c>
      <c r="Y90" s="28" t="s">
        <v>3</v>
      </c>
      <c r="Z90" s="26">
        <f>(172.1335-172.13321)/172.13321*10^6</f>
        <v>1.6847417183865032</v>
      </c>
      <c r="AA90" s="29">
        <f>(172.1333-172.13321)/172.13321*10^6</f>
        <v>0.52285087810856212</v>
      </c>
      <c r="AB90" s="29" t="s">
        <v>3</v>
      </c>
      <c r="AC90" s="27">
        <f>(172.1331-172.13321)/172.1331*10^6</f>
        <v>-0.63904037037659855</v>
      </c>
      <c r="AD90" s="27" t="s">
        <v>3</v>
      </c>
      <c r="AE90" s="21">
        <f>(172.13352-E90)/E90*10^6</f>
        <v>1.8299781265358379</v>
      </c>
      <c r="AF90" s="21">
        <f>(172.13296-E90)/172.13296*10^6</f>
        <v>-1.4233183465079091</v>
      </c>
      <c r="AG90" s="21" t="s">
        <v>3</v>
      </c>
      <c r="AH90" s="21" t="s">
        <v>3</v>
      </c>
      <c r="AI90" s="22">
        <v>2.68</v>
      </c>
      <c r="AJ90" s="30">
        <v>3.68</v>
      </c>
      <c r="AK90" s="30">
        <v>2.88</v>
      </c>
      <c r="AL90" s="22">
        <v>0.62</v>
      </c>
      <c r="AM90" s="30" t="s">
        <v>3</v>
      </c>
      <c r="AN90" s="65" t="s">
        <v>3</v>
      </c>
      <c r="AO90" s="65" t="s">
        <v>3</v>
      </c>
      <c r="AP90" s="65" t="s">
        <v>3</v>
      </c>
      <c r="AQ90" s="65" t="s">
        <v>3</v>
      </c>
      <c r="AR90" s="65" t="s">
        <v>3</v>
      </c>
      <c r="AS90" s="46">
        <f>(172.133-E90)/172.133*10^6</f>
        <v>-1.1909395641394476</v>
      </c>
      <c r="AT90" s="46">
        <f>(172.13341-E90)/E90*10^6</f>
        <v>1.1909381458040913</v>
      </c>
      <c r="AU90" s="46">
        <f>(172.1306-E90)/172.1306*10^6</f>
        <v>-15.133857663987948</v>
      </c>
      <c r="AV90" s="46">
        <f>(172.1324-E90)/172.1324*10^6</f>
        <v>-4.6766326386777477</v>
      </c>
      <c r="AW90" s="53" t="s">
        <v>3</v>
      </c>
      <c r="AX90" s="53">
        <f>(172.13328-E90)/172.13328*10^6</f>
        <v>0.43570888795934848</v>
      </c>
      <c r="AY90" s="57" t="s">
        <v>3</v>
      </c>
      <c r="AZ90" s="57" t="s">
        <v>3</v>
      </c>
      <c r="BA90" s="121" t="s">
        <v>3</v>
      </c>
    </row>
    <row r="91" spans="1:53" x14ac:dyDescent="0.25">
      <c r="A91" s="38">
        <v>88</v>
      </c>
      <c r="B91" s="139" t="s">
        <v>100</v>
      </c>
      <c r="C91" s="38" t="s">
        <v>138</v>
      </c>
      <c r="D91" s="38" t="s">
        <v>213</v>
      </c>
      <c r="E91" s="48">
        <v>154.12264099999999</v>
      </c>
      <c r="F91" s="23">
        <v>-1.94</v>
      </c>
      <c r="G91" s="23">
        <v>0.17</v>
      </c>
      <c r="H91" s="23" t="s">
        <v>3</v>
      </c>
      <c r="I91" s="25" t="s">
        <v>3</v>
      </c>
      <c r="J91" s="24">
        <v>1.52</v>
      </c>
      <c r="K91" s="118">
        <v>-1.9465061189066022</v>
      </c>
      <c r="L91" s="15" t="s">
        <v>3</v>
      </c>
      <c r="M91" s="15">
        <f>(154.1226-154.12264)/154.1226*10^6</f>
        <v>-0.25953364389307498</v>
      </c>
      <c r="N91" s="15">
        <f>(154.1225-154.12264)/154.1225*10^6</f>
        <v>-0.90836834328274252</v>
      </c>
      <c r="O91" s="15">
        <f>(154.1225-154.12264)/154.1225*10^6</f>
        <v>-0.90836834328274252</v>
      </c>
      <c r="P91" s="15">
        <f>(154.1226-154.12264)/154.1226*10^6</f>
        <v>-0.25953364389307498</v>
      </c>
      <c r="Q91" s="15">
        <f>(154.1225-154.12264)/154.1225*10^6</f>
        <v>-0.90836834328274252</v>
      </c>
      <c r="R91" s="15">
        <f>(154.1226-154.12264)/154.1226*10^6</f>
        <v>-0.25953364389307498</v>
      </c>
      <c r="S91" s="15">
        <f>(154.1225-154.12264)/154.1225*10^6</f>
        <v>-0.90836834328274252</v>
      </c>
      <c r="T91" s="15">
        <f>(154.1227-154.12264)/154.12264*10^6</f>
        <v>0.38930036507968474</v>
      </c>
      <c r="U91" s="15">
        <f>(154.1225-154.12264)/154.1225*10^6</f>
        <v>-0.90836834328274252</v>
      </c>
      <c r="V91" s="15">
        <f>(154.1226-154.12264)/154.1226*10^6</f>
        <v>-0.25953364389307498</v>
      </c>
      <c r="W91" s="28">
        <f>(154.1227-154.12264)/154.12264*10^6</f>
        <v>0.38930036507968474</v>
      </c>
      <c r="X91" s="28">
        <f>(154.1227-154.12264)/154.12264*10^6</f>
        <v>0.38930036507968474</v>
      </c>
      <c r="Y91" s="28" t="s">
        <v>3</v>
      </c>
      <c r="Z91" s="26">
        <f>(154.12309-154.12264)/154.12264*10^6</f>
        <v>2.9197527371755867</v>
      </c>
      <c r="AA91" s="29">
        <f>(154.1227-154.12264)/154.12264*10^6</f>
        <v>0.38930036507968474</v>
      </c>
      <c r="AB91" s="29" t="s">
        <v>3</v>
      </c>
      <c r="AC91" s="27">
        <f>(154.1226-154.12264)/154.1226*10^6</f>
        <v>-0.25953364389307498</v>
      </c>
      <c r="AD91" s="27" t="s">
        <v>3</v>
      </c>
      <c r="AE91" s="21">
        <f>(154.12308-E91)/E91*10^6</f>
        <v>2.8483809851148236</v>
      </c>
      <c r="AF91" s="21">
        <f>(154.1227-E91)/E91*10^6</f>
        <v>0.38281202319631663</v>
      </c>
      <c r="AG91" s="21">
        <f>(154.12251-E91)/154.12251*10^6</f>
        <v>-0.84997318030893476</v>
      </c>
      <c r="AH91" s="21">
        <f>(154.12235-E91)/154.12235*10^6</f>
        <v>-1.8881103225835729</v>
      </c>
      <c r="AI91" s="22" t="s">
        <v>3</v>
      </c>
      <c r="AJ91" s="30">
        <v>2.96</v>
      </c>
      <c r="AK91" s="30">
        <v>6.3</v>
      </c>
      <c r="AL91" s="22">
        <v>2</v>
      </c>
      <c r="AM91" s="30" t="s">
        <v>3</v>
      </c>
      <c r="AN91" s="65" t="s">
        <v>3</v>
      </c>
      <c r="AO91" s="65" t="s">
        <v>3</v>
      </c>
      <c r="AP91" s="65" t="s">
        <v>3</v>
      </c>
      <c r="AQ91" s="65" t="s">
        <v>3</v>
      </c>
      <c r="AR91" s="65" t="s">
        <v>3</v>
      </c>
      <c r="AS91" s="46">
        <f>(154.12151-E91)/154.12151*10^6</f>
        <v>-7.3383656829385497</v>
      </c>
      <c r="AT91" s="46">
        <f>(154.121-E91)/154.121*10^6</f>
        <v>-10.647478279910079</v>
      </c>
      <c r="AU91" s="46">
        <f>(154.1209-E91)/154.1209*10^6</f>
        <v>-11.296326455278555</v>
      </c>
      <c r="AV91" s="46">
        <f>(154.12151-E91)/154.12151*10^6</f>
        <v>-7.3383656829385497</v>
      </c>
      <c r="AW91" s="53" t="s">
        <v>3</v>
      </c>
      <c r="AX91" s="53" t="s">
        <v>3</v>
      </c>
      <c r="AY91" s="57" t="s">
        <v>3</v>
      </c>
      <c r="AZ91" s="57">
        <f>(154.122634-E91)/154.122634*10^6</f>
        <v>-4.5418377565015523E-2</v>
      </c>
      <c r="BA91" s="121">
        <f>(154.12273-E91)/154.12273*10^6</f>
        <v>0.577461870826388</v>
      </c>
    </row>
    <row r="92" spans="1:53" x14ac:dyDescent="0.25">
      <c r="A92" s="38">
        <v>89</v>
      </c>
      <c r="B92" s="139" t="s">
        <v>101</v>
      </c>
      <c r="C92" s="38" t="s">
        <v>138</v>
      </c>
      <c r="D92" s="38" t="s">
        <v>214</v>
      </c>
      <c r="E92" s="48">
        <v>273.18490600000001</v>
      </c>
      <c r="F92" s="23">
        <v>9.5500000000000007</v>
      </c>
      <c r="G92" s="23">
        <v>0</v>
      </c>
      <c r="H92" s="23">
        <f>(273.18521-E92)/E92*10^6</f>
        <v>1.112799401777484</v>
      </c>
      <c r="I92" s="25" t="s">
        <v>3</v>
      </c>
      <c r="J92" s="25" t="s">
        <v>3</v>
      </c>
      <c r="K92" s="117" t="s">
        <v>3</v>
      </c>
      <c r="L92" s="15" t="s">
        <v>3</v>
      </c>
      <c r="M92" s="15">
        <f>(273.18509-273.18491)/273.18491*10^6</f>
        <v>0.65889437304678</v>
      </c>
      <c r="N92" s="15">
        <f>(273.185-273.18491)/273.18491*10^6</f>
        <v>0.32944718652339</v>
      </c>
      <c r="O92" s="15">
        <f>(273.185-273.18491)/273.18491*10^6</f>
        <v>0.32944718652339</v>
      </c>
      <c r="P92" s="15">
        <f>(273.18491-273.18491)/273.18491*10^6</f>
        <v>0</v>
      </c>
      <c r="Q92" s="15">
        <f>(273.1853-273.18491)/273.18491*10^6</f>
        <v>1.4276044748653312</v>
      </c>
      <c r="R92" s="15">
        <f>(273.1853-273.18491)/273.18491*10^6</f>
        <v>1.4276044748653312</v>
      </c>
      <c r="S92" s="15">
        <f>(273.18509-273.18491)/273.18491*10^6</f>
        <v>0.65889437304678</v>
      </c>
      <c r="T92" s="15">
        <f>(273.18521-273.18491)/273.18491*10^6</f>
        <v>1.0981572883419413</v>
      </c>
      <c r="U92" s="15">
        <f>(273.18509-273.18491)/273.18491*10^6</f>
        <v>0.65889437304678</v>
      </c>
      <c r="V92" s="15">
        <f>(273.18509-273.18491)/273.18491*10^6</f>
        <v>0.65889437304678</v>
      </c>
      <c r="W92" s="28">
        <f>(273.18509-273.18491)/273.18491*10^6</f>
        <v>0.65889437304678</v>
      </c>
      <c r="X92" s="28">
        <f>(273.18491-273.18491)/273.18491*10^6</f>
        <v>0</v>
      </c>
      <c r="Y92" s="28" t="s">
        <v>3</v>
      </c>
      <c r="Z92" s="26" t="s">
        <v>3</v>
      </c>
      <c r="AA92" s="29" t="s">
        <v>3</v>
      </c>
      <c r="AB92" s="29" t="s">
        <v>3</v>
      </c>
      <c r="AC92" s="27">
        <f>(273.18469-273.18491)/273.18469*10^6</f>
        <v>-0.80531599341451965</v>
      </c>
      <c r="AD92" s="27" t="s">
        <v>3</v>
      </c>
      <c r="AE92" s="21">
        <f>(273.18437-E92)/273.18437*10^6</f>
        <v>-1.9620449003395479</v>
      </c>
      <c r="AF92" s="21">
        <f>(273.18562-E92)/E92*10^6</f>
        <v>2.6136143845351003</v>
      </c>
      <c r="AG92" s="21">
        <f>(273.1847-E92)/273.1847*10^6</f>
        <v>-0.75406858433686352</v>
      </c>
      <c r="AH92" s="21">
        <f>(273.18433-E92)/273.18433*10^6</f>
        <v>-2.1084664703267157</v>
      </c>
      <c r="AI92" s="22">
        <v>-1.75</v>
      </c>
      <c r="AJ92" s="30">
        <v>2.4900000000000002</v>
      </c>
      <c r="AK92" s="30">
        <v>3.83</v>
      </c>
      <c r="AL92" s="22">
        <v>2.87</v>
      </c>
      <c r="AM92" s="30">
        <v>0.96</v>
      </c>
      <c r="AN92" s="65" t="s">
        <v>3</v>
      </c>
      <c r="AO92" s="65" t="s">
        <v>3</v>
      </c>
      <c r="AP92" s="65" t="s">
        <v>3</v>
      </c>
      <c r="AQ92" s="65" t="s">
        <v>3</v>
      </c>
      <c r="AR92" s="65" t="s">
        <v>3</v>
      </c>
      <c r="AS92" s="46" t="s">
        <v>3</v>
      </c>
      <c r="AT92" s="46">
        <f>(273.18661-E92)/E92*10^6</f>
        <v>6.2375334893541661</v>
      </c>
      <c r="AU92" s="46">
        <f>(273.18579-E92)/E92*10^6</f>
        <v>3.2359035238389335</v>
      </c>
      <c r="AV92" s="46">
        <f>(273.18341-E92)/273.18341*10^6</f>
        <v>-5.4761744134882582</v>
      </c>
      <c r="AW92" s="53" t="s">
        <v>3</v>
      </c>
      <c r="AX92" s="53" t="s">
        <v>3</v>
      </c>
      <c r="AY92" s="57">
        <f>(273.184783-E92)/273.184783*10^6</f>
        <v>-0.45024469767232744</v>
      </c>
      <c r="AZ92" s="57">
        <f>(273.186986-E92)/273.186986*10^6</f>
        <v>7.6138326734865007</v>
      </c>
      <c r="BA92" s="121">
        <f>(273.18607-E92)/273.18607*10^6</f>
        <v>4.2608321865027632</v>
      </c>
    </row>
    <row r="93" spans="1:53" x14ac:dyDescent="0.25">
      <c r="A93" s="38">
        <v>90</v>
      </c>
      <c r="B93" s="139" t="s">
        <v>102</v>
      </c>
      <c r="C93" s="38" t="s">
        <v>138</v>
      </c>
      <c r="D93" s="38" t="s">
        <v>215</v>
      </c>
      <c r="E93" s="48">
        <v>103.061437</v>
      </c>
      <c r="F93" s="23" t="s">
        <v>3</v>
      </c>
      <c r="G93" s="23" t="s">
        <v>3</v>
      </c>
      <c r="H93" s="23" t="s">
        <v>3</v>
      </c>
      <c r="I93" s="25" t="s">
        <v>3</v>
      </c>
      <c r="J93" s="25" t="s">
        <v>3</v>
      </c>
      <c r="K93" s="117" t="s">
        <v>3</v>
      </c>
      <c r="L93" s="15" t="s">
        <v>3</v>
      </c>
      <c r="M93" s="15" t="s">
        <v>3</v>
      </c>
      <c r="N93" s="15" t="s">
        <v>3</v>
      </c>
      <c r="O93" s="15" t="s">
        <v>3</v>
      </c>
      <c r="P93" s="15" t="s">
        <v>3</v>
      </c>
      <c r="Q93" s="15" t="s">
        <v>3</v>
      </c>
      <c r="R93" s="15" t="s">
        <v>3</v>
      </c>
      <c r="S93" s="15" t="s">
        <v>3</v>
      </c>
      <c r="T93" s="15" t="s">
        <v>3</v>
      </c>
      <c r="U93" s="15" t="s">
        <v>3</v>
      </c>
      <c r="V93" s="15" t="s">
        <v>3</v>
      </c>
      <c r="W93" s="28" t="s">
        <v>3</v>
      </c>
      <c r="X93" s="28" t="s">
        <v>3</v>
      </c>
      <c r="Y93" s="28" t="s">
        <v>3</v>
      </c>
      <c r="Z93" s="26" t="s">
        <v>3</v>
      </c>
      <c r="AA93" s="29">
        <f>(103.0617-103.0614)/103.0614*10^6</f>
        <v>2.9108861319150341</v>
      </c>
      <c r="AB93" s="29" t="s">
        <v>3</v>
      </c>
      <c r="AC93" s="27" t="s">
        <v>3</v>
      </c>
      <c r="AD93" s="27" t="s">
        <v>3</v>
      </c>
      <c r="AE93" s="21">
        <f>(103.06176-E93)/E93*10^6</f>
        <v>3.1340529436702207</v>
      </c>
      <c r="AF93" s="21">
        <f>(103.0619-E93)/E93*10^6</f>
        <v>4.4924659841132186</v>
      </c>
      <c r="AG93" s="21" t="s">
        <v>3</v>
      </c>
      <c r="AH93" s="21" t="s">
        <v>3</v>
      </c>
      <c r="AI93" s="22" t="s">
        <v>3</v>
      </c>
      <c r="AJ93" s="30">
        <v>3.59</v>
      </c>
      <c r="AK93" s="30">
        <v>10.08</v>
      </c>
      <c r="AL93" s="22" t="s">
        <v>3</v>
      </c>
      <c r="AM93" s="22" t="s">
        <v>3</v>
      </c>
      <c r="AN93" s="65" t="s">
        <v>3</v>
      </c>
      <c r="AO93" s="65" t="s">
        <v>3</v>
      </c>
      <c r="AP93" s="65" t="s">
        <v>3</v>
      </c>
      <c r="AQ93" s="65" t="s">
        <v>3</v>
      </c>
      <c r="AR93" s="65" t="s">
        <v>3</v>
      </c>
      <c r="AS93" s="46" t="s">
        <v>3</v>
      </c>
      <c r="AT93" s="46" t="s">
        <v>3</v>
      </c>
      <c r="AU93" s="46" t="s">
        <v>3</v>
      </c>
      <c r="AV93" s="46" t="s">
        <v>3</v>
      </c>
      <c r="AW93" s="53" t="s">
        <v>3</v>
      </c>
      <c r="AX93" s="53" t="s">
        <v>3</v>
      </c>
      <c r="AY93" s="57" t="s">
        <v>3</v>
      </c>
      <c r="AZ93" s="57" t="s">
        <v>3</v>
      </c>
      <c r="BA93" s="121" t="s">
        <v>3</v>
      </c>
    </row>
    <row r="94" spans="1:53" x14ac:dyDescent="0.25">
      <c r="A94" s="38">
        <v>91</v>
      </c>
      <c r="B94" s="139" t="s">
        <v>103</v>
      </c>
      <c r="C94" s="38" t="s">
        <v>138</v>
      </c>
      <c r="D94" s="38" t="s">
        <v>216</v>
      </c>
      <c r="E94" s="48">
        <v>447.25030099999998</v>
      </c>
      <c r="F94" s="23">
        <v>-3.61</v>
      </c>
      <c r="G94" s="23">
        <v>-3.61</v>
      </c>
      <c r="H94" s="23" t="s">
        <v>3</v>
      </c>
      <c r="I94" s="25" t="s">
        <v>3</v>
      </c>
      <c r="J94" s="25" t="s">
        <v>3</v>
      </c>
      <c r="K94" s="118">
        <v>-1.565121578632638</v>
      </c>
      <c r="L94" s="15" t="s">
        <v>3</v>
      </c>
      <c r="M94" s="15">
        <f>(447.25-447.2503)/447.25*10^6</f>
        <v>-0.67076579090338129</v>
      </c>
      <c r="N94" s="15">
        <f>(447.24979-447.2503)/447.24979*10^6</f>
        <v>-1.1403023799361178</v>
      </c>
      <c r="O94" s="15">
        <f>(447.24969-447.2503)/447.24969*10^6</f>
        <v>-1.3638913869223037</v>
      </c>
      <c r="P94" s="15">
        <f>(447.25031-447.2503)/447.2503*10^6</f>
        <v>2.2358844771251905E-2</v>
      </c>
      <c r="Q94" s="15">
        <f>(447.25101-447.2503)/447.2503*10^6</f>
        <v>1.587477973802168</v>
      </c>
      <c r="R94" s="15" t="s">
        <v>3</v>
      </c>
      <c r="S94" s="15">
        <f>(447.25009-447.2503)/447.25009*10^6</f>
        <v>-0.46953595913505963</v>
      </c>
      <c r="T94" s="15">
        <f>(447.25049-447.2503)/447.25049*10^6</f>
        <v>0.42481786891253465</v>
      </c>
      <c r="U94" s="15">
        <f>(447.2504-447.2503)/447.2503*10^6</f>
        <v>0.22358844707704248</v>
      </c>
      <c r="V94" s="15" t="s">
        <v>3</v>
      </c>
      <c r="W94" s="28">
        <f>(447.24969-447.2503)/447.24969*10^6</f>
        <v>-1.3638913869223037</v>
      </c>
      <c r="X94" s="28">
        <f>(447.25009-447.2503)/447.25009*10^6</f>
        <v>-0.46953595913505963</v>
      </c>
      <c r="Y94" s="28" t="s">
        <v>3</v>
      </c>
      <c r="Z94" s="26">
        <f>(447.2514-447.2503)/447.2503*10^6</f>
        <v>2.4594729170848955</v>
      </c>
      <c r="AA94" s="29">
        <f>(447.24991-447.2503)/447.24991*10^6</f>
        <v>-0.87199570365857149</v>
      </c>
      <c r="AB94" s="29">
        <f>(447.25031-447.2503)/447.25031*10^6</f>
        <v>2.2358844271333975E-2</v>
      </c>
      <c r="AC94" s="27">
        <f>(447.24991-447.2503)/447.24991*10^6</f>
        <v>-0.87199570365857149</v>
      </c>
      <c r="AD94" s="27">
        <f>(447.24869-447.2503)/447.24869*10^6</f>
        <v>-3.5997869551524531</v>
      </c>
      <c r="AE94" s="21">
        <f>(447.25093-E94)/E94*10^6</f>
        <v>1.4063713285316344</v>
      </c>
      <c r="AF94" s="21">
        <f>(447.25136-E94)/E94*10^6</f>
        <v>2.3678016484955315</v>
      </c>
      <c r="AG94" s="21">
        <f>(447.25046-E94)/E94*10^6</f>
        <v>0.3555056299368875</v>
      </c>
      <c r="AH94" s="21">
        <f>(447.24972-E94)/447.24972*10^6</f>
        <v>-1.2990505616285268</v>
      </c>
      <c r="AI94" s="22">
        <v>-1.69</v>
      </c>
      <c r="AJ94" s="30">
        <v>4.4000000000000004</v>
      </c>
      <c r="AK94" s="30">
        <v>1.68</v>
      </c>
      <c r="AL94" s="22">
        <v>0.99</v>
      </c>
      <c r="AM94" s="30" t="s">
        <v>3</v>
      </c>
      <c r="AN94" s="65" t="s">
        <v>3</v>
      </c>
      <c r="AO94" s="65" t="s">
        <v>3</v>
      </c>
      <c r="AP94" s="65" t="s">
        <v>3</v>
      </c>
      <c r="AQ94" s="65" t="s">
        <v>3</v>
      </c>
      <c r="AR94" s="65" t="s">
        <v>3</v>
      </c>
      <c r="AS94" s="46">
        <f>(447.2504-E94)/E94*10^6</f>
        <v>0.22135256211770804</v>
      </c>
      <c r="AT94" s="46">
        <f>(447.2511-E94)/E94*10^6</f>
        <v>1.7864716876491986</v>
      </c>
      <c r="AU94" s="46" t="s">
        <v>3</v>
      </c>
      <c r="AV94" s="46">
        <f>(447.24841-E94)/447.24841*10^6</f>
        <v>-4.2280753999785743</v>
      </c>
      <c r="AW94" s="53" t="s">
        <v>3</v>
      </c>
      <c r="AX94" s="53" t="s">
        <v>3</v>
      </c>
      <c r="AY94" s="57">
        <f>(447.248323-E94)/447.248323*10^6</f>
        <v>-4.4225990310787759</v>
      </c>
      <c r="AZ94" s="57" t="s">
        <v>3</v>
      </c>
      <c r="BA94" s="121">
        <f>(447.25481-E94)/447.25481*10^6</f>
        <v>10.081501415359616</v>
      </c>
    </row>
    <row r="95" spans="1:53" x14ac:dyDescent="0.25">
      <c r="A95" s="38">
        <v>92</v>
      </c>
      <c r="B95" s="139" t="s">
        <v>106</v>
      </c>
      <c r="C95" s="38" t="s">
        <v>138</v>
      </c>
      <c r="D95" s="38" t="s">
        <v>217</v>
      </c>
      <c r="E95" s="48">
        <v>166.08625499999999</v>
      </c>
      <c r="F95" s="23" t="s">
        <v>3</v>
      </c>
      <c r="G95" s="23" t="s">
        <v>3</v>
      </c>
      <c r="H95" s="23" t="s">
        <v>3</v>
      </c>
      <c r="I95" s="25" t="s">
        <v>3</v>
      </c>
      <c r="J95" s="25" t="s">
        <v>3</v>
      </c>
      <c r="K95" s="117" t="s">
        <v>3</v>
      </c>
      <c r="L95" s="15">
        <f>(166.0856-166.08625)/166.0856*10^6</f>
        <v>-3.9136445303347607</v>
      </c>
      <c r="M95" s="15">
        <f>(166.0853-166.08625)/166.0853*10^6</f>
        <v>-5.7199523378488406</v>
      </c>
      <c r="N95" s="15">
        <f>(166.08569-166.08625)/166.08569*10^6</f>
        <v>-3.3717534605613606</v>
      </c>
      <c r="O95" s="15">
        <f>(166.0858-166.08625)/166.0858*10^6</f>
        <v>-2.7094429505757116</v>
      </c>
      <c r="P95" s="15">
        <f>(166.0858-166.08625)/166.0858*10^6</f>
        <v>-2.7094429505757116</v>
      </c>
      <c r="Q95" s="15">
        <f>(166.086-166.08625)/166.086*10^6</f>
        <v>-1.5052442710047098</v>
      </c>
      <c r="R95" s="15">
        <f>(166.0858-166.08625)/166.0858*10^6</f>
        <v>-2.7094429505757116</v>
      </c>
      <c r="S95" s="15">
        <f>(166.0854-166.08625)/166.0854*10^6</f>
        <v>-5.1178490102923329</v>
      </c>
      <c r="T95" s="15">
        <f>(166.08569-166.08625)/166.08569*10^6</f>
        <v>-3.3717534605613606</v>
      </c>
      <c r="U95" s="15">
        <f>(166.08569-166.08625)/166.08569*10^6</f>
        <v>-3.3717534605613606</v>
      </c>
      <c r="V95" s="15">
        <f>(166.08591-166.08625)/166.08591*10^6</f>
        <v>-2.0471333178969471</v>
      </c>
      <c r="W95" s="28" t="s">
        <v>3</v>
      </c>
      <c r="X95" s="28" t="s">
        <v>3</v>
      </c>
      <c r="Y95" s="28" t="s">
        <v>3</v>
      </c>
      <c r="Z95" s="26" t="s">
        <v>3</v>
      </c>
      <c r="AA95" s="29" t="s">
        <v>3</v>
      </c>
      <c r="AB95" s="29" t="s">
        <v>3</v>
      </c>
      <c r="AC95" s="27" t="s">
        <v>3</v>
      </c>
      <c r="AD95" s="27" t="s">
        <v>3</v>
      </c>
      <c r="AE95" s="21">
        <f>(166.08634-E95)/E95*10^6</f>
        <v>0.51178226646611613</v>
      </c>
      <c r="AF95" s="21" t="s">
        <v>3</v>
      </c>
      <c r="AG95" s="21">
        <f>(166.08562-E95)/166.08562*10^6</f>
        <v>-3.8233291960399391</v>
      </c>
      <c r="AH95" s="21">
        <f>(166.08546-E95)/166.08546*10^6</f>
        <v>-4.7866923449068786</v>
      </c>
      <c r="AI95" s="22">
        <v>3.26</v>
      </c>
      <c r="AJ95" s="30">
        <v>16.25</v>
      </c>
      <c r="AK95" s="22" t="s">
        <v>3</v>
      </c>
      <c r="AL95" s="22">
        <v>8.85</v>
      </c>
      <c r="AM95" s="30" t="s">
        <v>3</v>
      </c>
      <c r="AN95" s="65" t="s">
        <v>3</v>
      </c>
      <c r="AO95" s="65" t="s">
        <v>3</v>
      </c>
      <c r="AP95" s="65" t="s">
        <v>3</v>
      </c>
      <c r="AQ95" s="65" t="s">
        <v>3</v>
      </c>
      <c r="AR95" s="65" t="s">
        <v>3</v>
      </c>
      <c r="AS95" s="46" t="s">
        <v>3</v>
      </c>
      <c r="AT95" s="46">
        <f>(166.08549-E95)/166.08549*10^6</f>
        <v>-4.6060616132164043</v>
      </c>
      <c r="AU95" s="46">
        <f>(166.08591-E95)/166.08591*10^6</f>
        <v>-2.077238219555229</v>
      </c>
      <c r="AV95" s="46" t="s">
        <v>3</v>
      </c>
      <c r="AW95" s="53">
        <f>(166.086122-E95)/166.086122*10^6</f>
        <v>-0.8007893639979613</v>
      </c>
      <c r="AX95" s="53" t="s">
        <v>3</v>
      </c>
      <c r="AY95" s="57">
        <f>(166.086184-E95)/166.086184*10^6</f>
        <v>-0.42748889932513884</v>
      </c>
      <c r="AZ95" s="57" t="s">
        <v>3</v>
      </c>
      <c r="BA95" s="121" t="s">
        <v>3</v>
      </c>
    </row>
    <row r="96" spans="1:53" x14ac:dyDescent="0.25">
      <c r="A96" s="38">
        <v>93</v>
      </c>
      <c r="B96" s="139" t="s">
        <v>2</v>
      </c>
      <c r="C96" s="38" t="s">
        <v>138</v>
      </c>
      <c r="D96" s="38" t="s">
        <v>218</v>
      </c>
      <c r="E96" s="48">
        <v>246.92272199999999</v>
      </c>
      <c r="F96" s="23" t="s">
        <v>3</v>
      </c>
      <c r="G96" s="23" t="s">
        <v>3</v>
      </c>
      <c r="H96" s="23" t="s">
        <v>3</v>
      </c>
      <c r="I96" s="25" t="s">
        <v>3</v>
      </c>
      <c r="J96" s="25" t="s">
        <v>3</v>
      </c>
      <c r="K96" s="117" t="s">
        <v>3</v>
      </c>
      <c r="L96" s="15" t="s">
        <v>3</v>
      </c>
      <c r="M96" s="15" t="s">
        <v>3</v>
      </c>
      <c r="N96" s="15" t="s">
        <v>3</v>
      </c>
      <c r="O96" s="15" t="s">
        <v>3</v>
      </c>
      <c r="P96" s="15" t="s">
        <v>3</v>
      </c>
      <c r="Q96" s="15" t="s">
        <v>3</v>
      </c>
      <c r="R96" s="15" t="s">
        <v>3</v>
      </c>
      <c r="S96" s="15" t="s">
        <v>3</v>
      </c>
      <c r="T96" s="15" t="s">
        <v>3</v>
      </c>
      <c r="U96" s="15" t="s">
        <v>3</v>
      </c>
      <c r="V96" s="15" t="s">
        <v>3</v>
      </c>
      <c r="W96" s="28" t="s">
        <v>3</v>
      </c>
      <c r="X96" s="28" t="s">
        <v>3</v>
      </c>
      <c r="Y96" s="28" t="s">
        <v>3</v>
      </c>
      <c r="Z96" s="26" t="s">
        <v>3</v>
      </c>
      <c r="AA96" s="29" t="s">
        <v>3</v>
      </c>
      <c r="AB96" s="29" t="s">
        <v>3</v>
      </c>
      <c r="AC96" s="27" t="s">
        <v>3</v>
      </c>
      <c r="AD96" s="27" t="s">
        <v>3</v>
      </c>
      <c r="AE96" s="21" t="s">
        <v>3</v>
      </c>
      <c r="AF96" s="21" t="s">
        <v>3</v>
      </c>
      <c r="AG96" s="21" t="s">
        <v>3</v>
      </c>
      <c r="AH96" s="21" t="s">
        <v>3</v>
      </c>
      <c r="AI96" s="22">
        <v>1.46</v>
      </c>
      <c r="AJ96" s="22" t="s">
        <v>3</v>
      </c>
      <c r="AK96" s="30">
        <v>17.03</v>
      </c>
      <c r="AL96" s="22" t="s">
        <v>3</v>
      </c>
      <c r="AM96" s="22" t="s">
        <v>3</v>
      </c>
      <c r="AN96" s="65" t="s">
        <v>3</v>
      </c>
      <c r="AO96" s="65" t="s">
        <v>3</v>
      </c>
      <c r="AP96" s="65" t="s">
        <v>3</v>
      </c>
      <c r="AQ96" s="65" t="s">
        <v>3</v>
      </c>
      <c r="AR96" s="65" t="s">
        <v>3</v>
      </c>
      <c r="AS96" s="46" t="s">
        <v>3</v>
      </c>
      <c r="AT96" s="46" t="s">
        <v>3</v>
      </c>
      <c r="AU96" s="46" t="s">
        <v>3</v>
      </c>
      <c r="AV96" s="46" t="s">
        <v>3</v>
      </c>
      <c r="AW96" s="53" t="s">
        <v>3</v>
      </c>
      <c r="AX96" s="53" t="s">
        <v>3</v>
      </c>
      <c r="AY96" s="57" t="s">
        <v>3</v>
      </c>
      <c r="AZ96" s="57" t="s">
        <v>3</v>
      </c>
      <c r="BA96" s="121" t="s">
        <v>3</v>
      </c>
    </row>
    <row r="97" spans="1:53" x14ac:dyDescent="0.25">
      <c r="A97" s="38">
        <v>94</v>
      </c>
      <c r="B97" s="139" t="s">
        <v>2</v>
      </c>
      <c r="C97" s="38" t="s">
        <v>139</v>
      </c>
      <c r="D97" s="38" t="s">
        <v>218</v>
      </c>
      <c r="E97" s="48">
        <v>244.90816899999999</v>
      </c>
      <c r="F97" s="23" t="s">
        <v>564</v>
      </c>
      <c r="G97" s="23" t="s">
        <v>564</v>
      </c>
      <c r="H97" s="23" t="s">
        <v>564</v>
      </c>
      <c r="I97" s="25" t="s">
        <v>3</v>
      </c>
      <c r="J97" s="25" t="s">
        <v>3</v>
      </c>
      <c r="K97" s="117" t="s">
        <v>3</v>
      </c>
      <c r="L97" s="15" t="s">
        <v>3</v>
      </c>
      <c r="M97" s="15">
        <f>(244.90759-244.90817)/244.90759*10^6</f>
        <v>-2.3682402003693297</v>
      </c>
      <c r="N97" s="15">
        <f>(244.9077-244.90817)/244.9077*10^6</f>
        <v>-1.9190903348774899</v>
      </c>
      <c r="O97" s="15">
        <f>(244.9077-244.90817)/244.9077*10^6</f>
        <v>-1.9190903348774899</v>
      </c>
      <c r="P97" s="15">
        <f>(244.90759-244.90817)/244.90759*10^6</f>
        <v>-2.3682402003693297</v>
      </c>
      <c r="Q97" s="15">
        <f>(244.9079-244.90817)/244.9079*10^6</f>
        <v>-1.1024552495057798</v>
      </c>
      <c r="R97" s="15">
        <f>(244.9077-244.90817)/244.9077*10^6</f>
        <v>-1.9190903348774899</v>
      </c>
      <c r="S97" s="15">
        <f>(244.9077-244.90817)/244.9077*10^6</f>
        <v>-1.9190903348774899</v>
      </c>
      <c r="T97" s="15">
        <f>(244.9079-244.90817)/244.9079*10^6</f>
        <v>-1.1024552495057798</v>
      </c>
      <c r="U97" s="15">
        <f>(244.90781-244.90817)/244.90781*10^6</f>
        <v>-1.4699408728557168</v>
      </c>
      <c r="V97" s="15">
        <f>(244.9075-244.90817)/244.9075*10^6</f>
        <v>-2.7357267540345442</v>
      </c>
      <c r="W97" s="20" t="s">
        <v>564</v>
      </c>
      <c r="X97" s="20" t="s">
        <v>564</v>
      </c>
      <c r="Y97" s="20" t="s">
        <v>564</v>
      </c>
      <c r="Z97" s="26" t="s">
        <v>3</v>
      </c>
      <c r="AA97" s="29">
        <f>(244.9081-244.90817)/244.9081*10^6</f>
        <v>-0.28582149803219642</v>
      </c>
      <c r="AB97" s="29" t="s">
        <v>3</v>
      </c>
      <c r="AC97" s="27" t="s">
        <v>3</v>
      </c>
      <c r="AD97" s="27" t="s">
        <v>3</v>
      </c>
      <c r="AE97" s="21" t="s">
        <v>3</v>
      </c>
      <c r="AF97" s="21" t="s">
        <v>3</v>
      </c>
      <c r="AG97" s="21" t="s">
        <v>3</v>
      </c>
      <c r="AH97" s="21" t="s">
        <v>3</v>
      </c>
      <c r="AI97" s="22" t="s">
        <v>3</v>
      </c>
      <c r="AJ97" s="22" t="s">
        <v>564</v>
      </c>
      <c r="AK97" s="22" t="s">
        <v>3</v>
      </c>
      <c r="AL97" s="22" t="s">
        <v>3</v>
      </c>
      <c r="AM97" s="22" t="s">
        <v>564</v>
      </c>
      <c r="AN97" s="65" t="s">
        <v>564</v>
      </c>
      <c r="AO97" s="65" t="s">
        <v>564</v>
      </c>
      <c r="AP97" s="65" t="s">
        <v>564</v>
      </c>
      <c r="AQ97" s="65" t="s">
        <v>564</v>
      </c>
      <c r="AR97" s="65" t="s">
        <v>564</v>
      </c>
      <c r="AS97" s="46" t="s">
        <v>3</v>
      </c>
      <c r="AT97" s="46" t="s">
        <v>3</v>
      </c>
      <c r="AU97" s="46" t="s">
        <v>3</v>
      </c>
      <c r="AV97" s="46" t="s">
        <v>3</v>
      </c>
      <c r="AW97" s="53" t="s">
        <v>3</v>
      </c>
      <c r="AX97" s="53" t="s">
        <v>3</v>
      </c>
      <c r="AY97" s="57" t="s">
        <v>3</v>
      </c>
      <c r="AZ97" s="57" t="s">
        <v>3</v>
      </c>
      <c r="BA97" s="121">
        <f>(244.907535-E97)/244.907535*10^6</f>
        <v>-2.588732110634814</v>
      </c>
    </row>
    <row r="98" spans="1:53" x14ac:dyDescent="0.25">
      <c r="A98" s="38">
        <v>95</v>
      </c>
      <c r="B98" s="139" t="s">
        <v>51</v>
      </c>
      <c r="C98" s="38" t="s">
        <v>139</v>
      </c>
      <c r="D98" s="38" t="s">
        <v>219</v>
      </c>
      <c r="E98" s="48">
        <v>498.93021800000002</v>
      </c>
      <c r="F98" s="23" t="s">
        <v>564</v>
      </c>
      <c r="G98" s="23" t="s">
        <v>564</v>
      </c>
      <c r="H98" s="23" t="s">
        <v>564</v>
      </c>
      <c r="I98" s="25" t="s">
        <v>3</v>
      </c>
      <c r="J98" s="25" t="s">
        <v>3</v>
      </c>
      <c r="K98" s="117" t="s">
        <v>3</v>
      </c>
      <c r="L98" s="15" t="s">
        <v>3</v>
      </c>
      <c r="M98" s="15">
        <f>(498.92859-498.93022)/498.92859*10^6</f>
        <v>-3.2670005942818698</v>
      </c>
      <c r="N98" s="15">
        <f>(498.9288-498.93022)/498.9288*10^6</f>
        <v>-2.8460974792314655</v>
      </c>
      <c r="O98" s="15">
        <f>(498.92841-498.93022)/498.92841*10^6</f>
        <v>-3.6277749748395891</v>
      </c>
      <c r="P98" s="15">
        <f>(498.92859-498.93022)/498.92859*10^6</f>
        <v>-3.2670005942818698</v>
      </c>
      <c r="Q98" s="15">
        <f>(498.9288-498.93022)/498.9288*10^6</f>
        <v>-2.8460974792314655</v>
      </c>
      <c r="R98" s="15">
        <f>(498.92871-498.93022)/498.92871*10^6</f>
        <v>-3.0264844851203798</v>
      </c>
      <c r="S98" s="15">
        <f>(498.92789-498.93022)/498.92789*10^6</f>
        <v>-4.6700135364832605</v>
      </c>
      <c r="T98" s="15">
        <f>(498.9288-498.93022)/498.9288*10^6</f>
        <v>-2.8460974792314655</v>
      </c>
      <c r="U98" s="15">
        <f>(498.92859-498.93022)/498.92859*10^6</f>
        <v>-3.2670005942818698</v>
      </c>
      <c r="V98" s="15">
        <f>(498.92859-498.93022)/498.92859*10^6</f>
        <v>-3.2670005942818698</v>
      </c>
      <c r="W98" s="20" t="s">
        <v>564</v>
      </c>
      <c r="X98" s="20" t="s">
        <v>564</v>
      </c>
      <c r="Y98" s="20" t="s">
        <v>564</v>
      </c>
      <c r="Z98" s="26">
        <f>(498.9288-498.93022)/498.9288*10^6</f>
        <v>-2.8460974792314655</v>
      </c>
      <c r="AA98" s="29">
        <f>(498.93051-498.93022)/498.93051*10^6</f>
        <v>0.58124326773839674</v>
      </c>
      <c r="AB98" s="29" t="s">
        <v>3</v>
      </c>
      <c r="AC98" s="27">
        <f>(498.9306-498.93022)/498.93022*10^6</f>
        <v>0.76162955213843397</v>
      </c>
      <c r="AD98" s="27" t="s">
        <v>3</v>
      </c>
      <c r="AE98" s="21">
        <f>(498.93057-E98)/E98*10^6</f>
        <v>0.70550948261854263</v>
      </c>
      <c r="AF98" s="21">
        <f>(498.92936-E98)/498.92936*10^6</f>
        <v>-1.7196823214626047</v>
      </c>
      <c r="AG98" s="21">
        <f>(498.92975-E98)/498.92975*10^6</f>
        <v>-0.93800780573242104</v>
      </c>
      <c r="AH98" s="21" t="s">
        <v>3</v>
      </c>
      <c r="AI98" s="22" t="s">
        <v>3</v>
      </c>
      <c r="AJ98" s="22" t="s">
        <v>564</v>
      </c>
      <c r="AK98" s="22" t="s">
        <v>3</v>
      </c>
      <c r="AL98" s="22" t="s">
        <v>3</v>
      </c>
      <c r="AM98" s="22" t="s">
        <v>564</v>
      </c>
      <c r="AN98" s="65" t="s">
        <v>564</v>
      </c>
      <c r="AO98" s="65" t="s">
        <v>564</v>
      </c>
      <c r="AP98" s="65" t="s">
        <v>564</v>
      </c>
      <c r="AQ98" s="65" t="s">
        <v>564</v>
      </c>
      <c r="AR98" s="65" t="s">
        <v>564</v>
      </c>
      <c r="AS98" s="46" t="s">
        <v>3</v>
      </c>
      <c r="AT98" s="46" t="s">
        <v>3</v>
      </c>
      <c r="AU98" s="46" t="s">
        <v>3</v>
      </c>
      <c r="AV98" s="46" t="s">
        <v>3</v>
      </c>
      <c r="AW98" s="53" t="s">
        <v>3</v>
      </c>
      <c r="AX98" s="53" t="s">
        <v>3</v>
      </c>
      <c r="AY98" s="57" t="s">
        <v>3</v>
      </c>
      <c r="AZ98" s="57" t="s">
        <v>3</v>
      </c>
      <c r="BA98" s="121">
        <f>(498.929016-E98)/498.929016*10^6</f>
        <v>-2.4091603444342198</v>
      </c>
    </row>
    <row r="99" spans="1:53" x14ac:dyDescent="0.25">
      <c r="A99" s="38">
        <v>96</v>
      </c>
      <c r="B99" s="139" t="s">
        <v>23</v>
      </c>
      <c r="C99" s="38" t="s">
        <v>138</v>
      </c>
      <c r="D99" s="38" t="s">
        <v>220</v>
      </c>
      <c r="E99" s="48">
        <v>416.92160799999999</v>
      </c>
      <c r="F99" s="23" t="s">
        <v>3</v>
      </c>
      <c r="G99" s="23" t="s">
        <v>3</v>
      </c>
      <c r="H99" s="23" t="s">
        <v>3</v>
      </c>
      <c r="I99" s="25" t="s">
        <v>3</v>
      </c>
      <c r="J99" s="25" t="s">
        <v>3</v>
      </c>
      <c r="K99" s="117" t="s">
        <v>3</v>
      </c>
      <c r="L99" s="15" t="s">
        <v>3</v>
      </c>
      <c r="M99" s="15" t="s">
        <v>3</v>
      </c>
      <c r="N99" s="15" t="s">
        <v>3</v>
      </c>
      <c r="O99" s="15" t="s">
        <v>3</v>
      </c>
      <c r="P99" s="15" t="s">
        <v>3</v>
      </c>
      <c r="Q99" s="15" t="s">
        <v>3</v>
      </c>
      <c r="R99" s="15" t="s">
        <v>3</v>
      </c>
      <c r="S99" s="15" t="s">
        <v>3</v>
      </c>
      <c r="T99" s="15" t="s">
        <v>3</v>
      </c>
      <c r="U99" s="15" t="s">
        <v>3</v>
      </c>
      <c r="V99" s="15" t="s">
        <v>3</v>
      </c>
      <c r="W99" s="28" t="s">
        <v>3</v>
      </c>
      <c r="X99" s="28" t="s">
        <v>3</v>
      </c>
      <c r="Y99" s="28" t="s">
        <v>3</v>
      </c>
      <c r="Z99" s="26" t="s">
        <v>3</v>
      </c>
      <c r="AA99" s="29" t="s">
        <v>3</v>
      </c>
      <c r="AB99" s="29" t="s">
        <v>3</v>
      </c>
      <c r="AC99" s="27" t="s">
        <v>3</v>
      </c>
      <c r="AD99" s="27" t="s">
        <v>3</v>
      </c>
      <c r="AE99" s="21" t="s">
        <v>3</v>
      </c>
      <c r="AF99" s="21" t="s">
        <v>3</v>
      </c>
      <c r="AG99" s="21" t="s">
        <v>3</v>
      </c>
      <c r="AH99" s="21" t="s">
        <v>3</v>
      </c>
      <c r="AI99" s="22" t="s">
        <v>3</v>
      </c>
      <c r="AJ99" s="22" t="s">
        <v>3</v>
      </c>
      <c r="AK99" s="22" t="s">
        <v>3</v>
      </c>
      <c r="AL99" s="22" t="s">
        <v>3</v>
      </c>
      <c r="AM99" s="22" t="s">
        <v>3</v>
      </c>
      <c r="AN99" s="65" t="s">
        <v>3</v>
      </c>
      <c r="AO99" s="65" t="s">
        <v>3</v>
      </c>
      <c r="AP99" s="65" t="s">
        <v>3</v>
      </c>
      <c r="AQ99" s="65" t="s">
        <v>3</v>
      </c>
      <c r="AR99" s="65" t="s">
        <v>3</v>
      </c>
      <c r="AS99" s="46" t="s">
        <v>3</v>
      </c>
      <c r="AT99" s="46" t="s">
        <v>3</v>
      </c>
      <c r="AU99" s="46" t="s">
        <v>3</v>
      </c>
      <c r="AV99" s="46" t="s">
        <v>3</v>
      </c>
      <c r="AW99" s="53" t="s">
        <v>3</v>
      </c>
      <c r="AX99" s="53" t="s">
        <v>3</v>
      </c>
      <c r="AY99" s="57" t="s">
        <v>3</v>
      </c>
      <c r="AZ99" s="57" t="s">
        <v>3</v>
      </c>
      <c r="BA99" s="121" t="s">
        <v>3</v>
      </c>
    </row>
    <row r="100" spans="1:53" x14ac:dyDescent="0.25">
      <c r="A100" s="38">
        <v>97</v>
      </c>
      <c r="B100" s="139" t="s">
        <v>23</v>
      </c>
      <c r="C100" s="38" t="s">
        <v>139</v>
      </c>
      <c r="D100" s="38" t="s">
        <v>220</v>
      </c>
      <c r="E100" s="48">
        <v>414.90705500000001</v>
      </c>
      <c r="F100" s="23" t="s">
        <v>3</v>
      </c>
      <c r="G100" s="23" t="s">
        <v>3</v>
      </c>
      <c r="H100" s="23" t="s">
        <v>3</v>
      </c>
      <c r="I100" s="25" t="s">
        <v>3</v>
      </c>
      <c r="J100" s="25" t="s">
        <v>3</v>
      </c>
      <c r="K100" s="117" t="s">
        <v>3</v>
      </c>
      <c r="L100" s="15" t="s">
        <v>3</v>
      </c>
      <c r="M100" s="15" t="s">
        <v>3</v>
      </c>
      <c r="N100" s="15" t="s">
        <v>3</v>
      </c>
      <c r="O100" s="15" t="s">
        <v>3</v>
      </c>
      <c r="P100" s="15" t="s">
        <v>3</v>
      </c>
      <c r="Q100" s="15" t="s">
        <v>3</v>
      </c>
      <c r="R100" s="15" t="s">
        <v>3</v>
      </c>
      <c r="S100" s="15" t="s">
        <v>3</v>
      </c>
      <c r="T100" s="15" t="s">
        <v>3</v>
      </c>
      <c r="U100" s="15" t="s">
        <v>3</v>
      </c>
      <c r="V100" s="15" t="s">
        <v>3</v>
      </c>
      <c r="W100" s="20" t="s">
        <v>564</v>
      </c>
      <c r="X100" s="20" t="s">
        <v>564</v>
      </c>
      <c r="Y100" s="20" t="s">
        <v>564</v>
      </c>
      <c r="Z100" s="26" t="s">
        <v>3</v>
      </c>
      <c r="AA100" s="29" t="s">
        <v>3</v>
      </c>
      <c r="AB100" s="29" t="s">
        <v>3</v>
      </c>
      <c r="AC100" s="27" t="s">
        <v>3</v>
      </c>
      <c r="AD100" s="27" t="s">
        <v>3</v>
      </c>
      <c r="AE100" s="21" t="s">
        <v>3</v>
      </c>
      <c r="AF100" s="21" t="s">
        <v>3</v>
      </c>
      <c r="AG100" s="21" t="s">
        <v>3</v>
      </c>
      <c r="AH100" s="21" t="s">
        <v>3</v>
      </c>
      <c r="AI100" s="22" t="s">
        <v>3</v>
      </c>
      <c r="AJ100" s="22" t="s">
        <v>564</v>
      </c>
      <c r="AK100" s="22" t="s">
        <v>3</v>
      </c>
      <c r="AL100" s="22" t="s">
        <v>3</v>
      </c>
      <c r="AM100" s="22" t="s">
        <v>3</v>
      </c>
      <c r="AN100" s="65" t="s">
        <v>564</v>
      </c>
      <c r="AO100" s="65" t="s">
        <v>564</v>
      </c>
      <c r="AP100" s="65" t="s">
        <v>564</v>
      </c>
      <c r="AQ100" s="65" t="s">
        <v>564</v>
      </c>
      <c r="AR100" s="65" t="s">
        <v>564</v>
      </c>
      <c r="AS100" s="46" t="s">
        <v>3</v>
      </c>
      <c r="AT100" s="46" t="s">
        <v>3</v>
      </c>
      <c r="AU100" s="46" t="s">
        <v>3</v>
      </c>
      <c r="AV100" s="46" t="s">
        <v>3</v>
      </c>
      <c r="AW100" s="53" t="s">
        <v>3</v>
      </c>
      <c r="AX100" s="53" t="s">
        <v>3</v>
      </c>
      <c r="AY100" s="57" t="s">
        <v>3</v>
      </c>
      <c r="AZ100" s="57" t="s">
        <v>3</v>
      </c>
      <c r="BA100" s="121" t="s">
        <v>3</v>
      </c>
    </row>
    <row r="101" spans="1:53" x14ac:dyDescent="0.25">
      <c r="A101" s="38">
        <v>98</v>
      </c>
      <c r="B101" s="139" t="s">
        <v>24</v>
      </c>
      <c r="C101" s="38" t="s">
        <v>138</v>
      </c>
      <c r="D101" s="38" t="s">
        <v>221</v>
      </c>
      <c r="E101" s="48">
        <v>516.91522099999997</v>
      </c>
      <c r="F101" s="23" t="s">
        <v>3</v>
      </c>
      <c r="G101" s="23" t="s">
        <v>3</v>
      </c>
      <c r="H101" s="23" t="s">
        <v>3</v>
      </c>
      <c r="I101" s="25" t="s">
        <v>3</v>
      </c>
      <c r="J101" s="25" t="s">
        <v>3</v>
      </c>
      <c r="K101" s="117" t="s">
        <v>3</v>
      </c>
      <c r="L101" s="15" t="s">
        <v>3</v>
      </c>
      <c r="M101" s="15" t="s">
        <v>3</v>
      </c>
      <c r="N101" s="15" t="s">
        <v>3</v>
      </c>
      <c r="O101" s="15" t="s">
        <v>3</v>
      </c>
      <c r="P101" s="15" t="s">
        <v>3</v>
      </c>
      <c r="Q101" s="15" t="s">
        <v>3</v>
      </c>
      <c r="R101" s="15" t="s">
        <v>3</v>
      </c>
      <c r="S101" s="15" t="s">
        <v>3</v>
      </c>
      <c r="T101" s="15" t="s">
        <v>3</v>
      </c>
      <c r="U101" s="15" t="s">
        <v>3</v>
      </c>
      <c r="V101" s="15" t="s">
        <v>3</v>
      </c>
      <c r="W101" s="28" t="s">
        <v>3</v>
      </c>
      <c r="X101" s="28" t="s">
        <v>3</v>
      </c>
      <c r="Y101" s="28" t="s">
        <v>3</v>
      </c>
      <c r="Z101" s="26" t="s">
        <v>3</v>
      </c>
      <c r="AA101" s="29" t="s">
        <v>3</v>
      </c>
      <c r="AB101" s="29" t="s">
        <v>3</v>
      </c>
      <c r="AC101" s="27" t="s">
        <v>3</v>
      </c>
      <c r="AD101" s="27" t="s">
        <v>3</v>
      </c>
      <c r="AE101" s="21" t="s">
        <v>3</v>
      </c>
      <c r="AF101" s="21" t="s">
        <v>3</v>
      </c>
      <c r="AG101" s="21" t="s">
        <v>3</v>
      </c>
      <c r="AH101" s="21" t="s">
        <v>3</v>
      </c>
      <c r="AI101" s="22" t="s">
        <v>3</v>
      </c>
      <c r="AJ101" s="22" t="s">
        <v>3</v>
      </c>
      <c r="AK101" s="22" t="s">
        <v>3</v>
      </c>
      <c r="AL101" s="22" t="s">
        <v>3</v>
      </c>
      <c r="AM101" s="22" t="s">
        <v>3</v>
      </c>
      <c r="AN101" s="65" t="s">
        <v>3</v>
      </c>
      <c r="AO101" s="65" t="s">
        <v>3</v>
      </c>
      <c r="AP101" s="65" t="s">
        <v>3</v>
      </c>
      <c r="AQ101" s="65" t="s">
        <v>3</v>
      </c>
      <c r="AR101" s="65" t="s">
        <v>3</v>
      </c>
      <c r="AS101" s="46" t="s">
        <v>3</v>
      </c>
      <c r="AT101" s="46" t="s">
        <v>3</v>
      </c>
      <c r="AU101" s="46" t="s">
        <v>3</v>
      </c>
      <c r="AV101" s="46" t="s">
        <v>3</v>
      </c>
      <c r="AW101" s="53" t="s">
        <v>3</v>
      </c>
      <c r="AX101" s="53" t="s">
        <v>3</v>
      </c>
      <c r="AY101" s="57" t="s">
        <v>3</v>
      </c>
      <c r="AZ101" s="57" t="s">
        <v>3</v>
      </c>
      <c r="BA101" s="121" t="s">
        <v>3</v>
      </c>
    </row>
    <row r="102" spans="1:53" x14ac:dyDescent="0.25">
      <c r="A102" s="38">
        <v>99</v>
      </c>
      <c r="B102" s="139" t="s">
        <v>24</v>
      </c>
      <c r="C102" s="38" t="s">
        <v>139</v>
      </c>
      <c r="D102" s="38" t="s">
        <v>221</v>
      </c>
      <c r="E102" s="48">
        <v>514.900668</v>
      </c>
      <c r="F102" s="23" t="s">
        <v>564</v>
      </c>
      <c r="G102" s="23" t="s">
        <v>564</v>
      </c>
      <c r="H102" s="23" t="s">
        <v>564</v>
      </c>
      <c r="I102" s="25" t="s">
        <v>3</v>
      </c>
      <c r="J102" s="25" t="s">
        <v>3</v>
      </c>
      <c r="K102" s="117" t="s">
        <v>3</v>
      </c>
      <c r="L102" s="15" t="s">
        <v>3</v>
      </c>
      <c r="M102" s="15" t="s">
        <v>3</v>
      </c>
      <c r="N102" s="15" t="s">
        <v>3</v>
      </c>
      <c r="O102" s="15" t="s">
        <v>3</v>
      </c>
      <c r="P102" s="15">
        <f>(514.89807-514.90067)/514.89807*10^6</f>
        <v>-5.0495431067152143</v>
      </c>
      <c r="Q102" s="15">
        <f>(514.8988-514.90067)/514.8988*10^6</f>
        <v>-3.6317816237673575</v>
      </c>
      <c r="R102" s="15" t="s">
        <v>3</v>
      </c>
      <c r="S102" s="15">
        <f>(514.89868-514.90067)/514.89868*10^6</f>
        <v>-3.8648380298391007</v>
      </c>
      <c r="T102" s="15" t="s">
        <v>3</v>
      </c>
      <c r="U102" s="15" t="s">
        <v>3</v>
      </c>
      <c r="V102" s="15" t="s">
        <v>3</v>
      </c>
      <c r="W102" s="20" t="s">
        <v>564</v>
      </c>
      <c r="X102" s="20" t="s">
        <v>564</v>
      </c>
      <c r="Y102" s="20" t="s">
        <v>564</v>
      </c>
      <c r="Z102" s="26" t="s">
        <v>3</v>
      </c>
      <c r="AA102" s="29" t="s">
        <v>3</v>
      </c>
      <c r="AB102" s="29" t="s">
        <v>3</v>
      </c>
      <c r="AC102" s="27" t="s">
        <v>3</v>
      </c>
      <c r="AD102" s="27" t="s">
        <v>3</v>
      </c>
      <c r="AE102" s="21" t="s">
        <v>3</v>
      </c>
      <c r="AF102" s="21" t="s">
        <v>3</v>
      </c>
      <c r="AG102" s="21" t="s">
        <v>3</v>
      </c>
      <c r="AH102" s="21" t="s">
        <v>3</v>
      </c>
      <c r="AI102" s="22" t="s">
        <v>3</v>
      </c>
      <c r="AJ102" s="22" t="s">
        <v>564</v>
      </c>
      <c r="AK102" s="22" t="s">
        <v>3</v>
      </c>
      <c r="AL102" s="22" t="s">
        <v>3</v>
      </c>
      <c r="AM102" s="22" t="s">
        <v>564</v>
      </c>
      <c r="AN102" s="65" t="s">
        <v>564</v>
      </c>
      <c r="AO102" s="65" t="s">
        <v>564</v>
      </c>
      <c r="AP102" s="65" t="s">
        <v>564</v>
      </c>
      <c r="AQ102" s="65" t="s">
        <v>564</v>
      </c>
      <c r="AR102" s="65" t="s">
        <v>564</v>
      </c>
      <c r="AS102" s="46" t="s">
        <v>3</v>
      </c>
      <c r="AT102" s="46" t="s">
        <v>3</v>
      </c>
      <c r="AU102" s="46" t="s">
        <v>3</v>
      </c>
      <c r="AV102" s="46" t="s">
        <v>3</v>
      </c>
      <c r="AW102" s="53" t="s">
        <v>3</v>
      </c>
      <c r="AX102" s="53" t="s">
        <v>3</v>
      </c>
      <c r="AY102" s="57" t="s">
        <v>3</v>
      </c>
      <c r="AZ102" s="57" t="s">
        <v>3</v>
      </c>
      <c r="BA102" s="121" t="s">
        <v>3</v>
      </c>
    </row>
    <row r="103" spans="1:53" x14ac:dyDescent="0.25">
      <c r="A103" s="38">
        <v>100</v>
      </c>
      <c r="B103" s="139" t="s">
        <v>25</v>
      </c>
      <c r="C103" s="38" t="s">
        <v>138</v>
      </c>
      <c r="D103" s="38" t="s">
        <v>222</v>
      </c>
      <c r="E103" s="48">
        <v>416.94607300000001</v>
      </c>
      <c r="F103" s="23" t="s">
        <v>3</v>
      </c>
      <c r="G103" s="23" t="s">
        <v>3</v>
      </c>
      <c r="H103" s="23" t="s">
        <v>3</v>
      </c>
      <c r="I103" s="25" t="s">
        <v>3</v>
      </c>
      <c r="J103" s="25" t="s">
        <v>3</v>
      </c>
      <c r="K103" s="117" t="s">
        <v>3</v>
      </c>
      <c r="L103" s="15" t="s">
        <v>3</v>
      </c>
      <c r="M103" s="15" t="s">
        <v>3</v>
      </c>
      <c r="N103" s="15" t="s">
        <v>3</v>
      </c>
      <c r="O103" s="15" t="s">
        <v>3</v>
      </c>
      <c r="P103" s="15" t="s">
        <v>3</v>
      </c>
      <c r="Q103" s="15" t="s">
        <v>3</v>
      </c>
      <c r="R103" s="15" t="s">
        <v>3</v>
      </c>
      <c r="S103" s="15" t="s">
        <v>3</v>
      </c>
      <c r="T103" s="15" t="s">
        <v>3</v>
      </c>
      <c r="U103" s="15" t="s">
        <v>3</v>
      </c>
      <c r="V103" s="15" t="s">
        <v>3</v>
      </c>
      <c r="W103" s="28" t="s">
        <v>3</v>
      </c>
      <c r="X103" s="28" t="s">
        <v>3</v>
      </c>
      <c r="Y103" s="28" t="s">
        <v>3</v>
      </c>
      <c r="Z103" s="26" t="s">
        <v>3</v>
      </c>
      <c r="AA103" s="29" t="s">
        <v>3</v>
      </c>
      <c r="AB103" s="29" t="s">
        <v>3</v>
      </c>
      <c r="AC103" s="27" t="s">
        <v>3</v>
      </c>
      <c r="AD103" s="27" t="s">
        <v>3</v>
      </c>
      <c r="AE103" s="21" t="s">
        <v>3</v>
      </c>
      <c r="AF103" s="21" t="s">
        <v>3</v>
      </c>
      <c r="AG103" s="21" t="s">
        <v>3</v>
      </c>
      <c r="AH103" s="21" t="s">
        <v>3</v>
      </c>
      <c r="AI103" s="22" t="s">
        <v>3</v>
      </c>
      <c r="AJ103" s="22" t="s">
        <v>3</v>
      </c>
      <c r="AK103" s="22" t="s">
        <v>3</v>
      </c>
      <c r="AL103" s="22" t="s">
        <v>3</v>
      </c>
      <c r="AM103" s="22" t="s">
        <v>3</v>
      </c>
      <c r="AN103" s="65" t="s">
        <v>3</v>
      </c>
      <c r="AO103" s="65" t="s">
        <v>3</v>
      </c>
      <c r="AP103" s="65" t="s">
        <v>3</v>
      </c>
      <c r="AQ103" s="65" t="s">
        <v>3</v>
      </c>
      <c r="AR103" s="65" t="s">
        <v>3</v>
      </c>
      <c r="AS103" s="46" t="s">
        <v>3</v>
      </c>
      <c r="AT103" s="46" t="s">
        <v>3</v>
      </c>
      <c r="AU103" s="46" t="s">
        <v>3</v>
      </c>
      <c r="AV103" s="46" t="s">
        <v>3</v>
      </c>
      <c r="AW103" s="53" t="s">
        <v>3</v>
      </c>
      <c r="AX103" s="53" t="s">
        <v>3</v>
      </c>
      <c r="AY103" s="57" t="s">
        <v>3</v>
      </c>
      <c r="AZ103" s="57" t="s">
        <v>3</v>
      </c>
      <c r="BA103" s="121" t="s">
        <v>3</v>
      </c>
    </row>
    <row r="104" spans="1:53" x14ac:dyDescent="0.25">
      <c r="A104" s="38">
        <v>101</v>
      </c>
      <c r="B104" s="139" t="s">
        <v>25</v>
      </c>
      <c r="C104" s="38" t="s">
        <v>139</v>
      </c>
      <c r="D104" s="38" t="s">
        <v>222</v>
      </c>
      <c r="E104" s="48">
        <v>414.93151999999998</v>
      </c>
      <c r="F104" s="23" t="s">
        <v>564</v>
      </c>
      <c r="G104" s="23" t="s">
        <v>564</v>
      </c>
      <c r="H104" s="23" t="s">
        <v>564</v>
      </c>
      <c r="I104" s="25" t="s">
        <v>3</v>
      </c>
      <c r="J104" s="25" t="s">
        <v>3</v>
      </c>
      <c r="K104" s="117" t="s">
        <v>3</v>
      </c>
      <c r="L104" s="15" t="s">
        <v>3</v>
      </c>
      <c r="M104" s="15" t="s">
        <v>3</v>
      </c>
      <c r="N104" s="15" t="s">
        <v>3</v>
      </c>
      <c r="O104" s="15" t="s">
        <v>3</v>
      </c>
      <c r="P104" s="15" t="s">
        <v>3</v>
      </c>
      <c r="Q104" s="15" t="s">
        <v>3</v>
      </c>
      <c r="R104" s="15" t="s">
        <v>3</v>
      </c>
      <c r="S104" s="15" t="s">
        <v>3</v>
      </c>
      <c r="T104" s="15" t="s">
        <v>3</v>
      </c>
      <c r="U104" s="15" t="s">
        <v>3</v>
      </c>
      <c r="V104" s="15" t="s">
        <v>3</v>
      </c>
      <c r="W104" s="20" t="s">
        <v>564</v>
      </c>
      <c r="X104" s="20" t="s">
        <v>564</v>
      </c>
      <c r="Y104" s="20" t="s">
        <v>564</v>
      </c>
      <c r="Z104" s="26" t="s">
        <v>3</v>
      </c>
      <c r="AA104" s="29" t="s">
        <v>3</v>
      </c>
      <c r="AB104" s="29" t="s">
        <v>3</v>
      </c>
      <c r="AC104" s="27" t="s">
        <v>3</v>
      </c>
      <c r="AD104" s="27" t="s">
        <v>3</v>
      </c>
      <c r="AE104" s="21" t="s">
        <v>3</v>
      </c>
      <c r="AF104" s="21" t="s">
        <v>3</v>
      </c>
      <c r="AG104" s="21" t="s">
        <v>3</v>
      </c>
      <c r="AH104" s="21" t="s">
        <v>3</v>
      </c>
      <c r="AI104" s="22" t="s">
        <v>3</v>
      </c>
      <c r="AJ104" s="22" t="s">
        <v>564</v>
      </c>
      <c r="AK104" s="22" t="s">
        <v>3</v>
      </c>
      <c r="AL104" s="22" t="s">
        <v>3</v>
      </c>
      <c r="AM104" s="22" t="s">
        <v>564</v>
      </c>
      <c r="AN104" s="65" t="s">
        <v>564</v>
      </c>
      <c r="AO104" s="65" t="s">
        <v>564</v>
      </c>
      <c r="AP104" s="65" t="s">
        <v>564</v>
      </c>
      <c r="AQ104" s="65" t="s">
        <v>564</v>
      </c>
      <c r="AR104" s="65" t="s">
        <v>564</v>
      </c>
      <c r="AS104" s="46" t="s">
        <v>3</v>
      </c>
      <c r="AT104" s="46" t="s">
        <v>3</v>
      </c>
      <c r="AU104" s="46" t="s">
        <v>3</v>
      </c>
      <c r="AV104" s="46" t="s">
        <v>3</v>
      </c>
      <c r="AW104" s="53" t="s">
        <v>3</v>
      </c>
      <c r="AX104" s="53" t="s">
        <v>3</v>
      </c>
      <c r="AY104" s="57" t="s">
        <v>3</v>
      </c>
      <c r="AZ104" s="57" t="s">
        <v>3</v>
      </c>
      <c r="BA104" s="121" t="s">
        <v>3</v>
      </c>
    </row>
    <row r="105" spans="1:53" x14ac:dyDescent="0.25">
      <c r="A105" s="38">
        <v>102</v>
      </c>
      <c r="B105" s="139" t="s">
        <v>26</v>
      </c>
      <c r="C105" s="38" t="s">
        <v>138</v>
      </c>
      <c r="D105" s="38" t="s">
        <v>223</v>
      </c>
      <c r="E105" s="48">
        <v>478.942879</v>
      </c>
      <c r="F105" s="23" t="s">
        <v>3</v>
      </c>
      <c r="G105" s="23" t="s">
        <v>3</v>
      </c>
      <c r="H105" s="23" t="s">
        <v>3</v>
      </c>
      <c r="I105" s="25" t="s">
        <v>3</v>
      </c>
      <c r="J105" s="25" t="s">
        <v>3</v>
      </c>
      <c r="K105" s="117" t="s">
        <v>3</v>
      </c>
      <c r="L105" s="15" t="s">
        <v>3</v>
      </c>
      <c r="M105" s="15" t="s">
        <v>3</v>
      </c>
      <c r="N105" s="15" t="s">
        <v>3</v>
      </c>
      <c r="O105" s="15" t="s">
        <v>3</v>
      </c>
      <c r="P105" s="15" t="s">
        <v>3</v>
      </c>
      <c r="Q105" s="15" t="s">
        <v>3</v>
      </c>
      <c r="R105" s="15" t="s">
        <v>3</v>
      </c>
      <c r="S105" s="15" t="s">
        <v>3</v>
      </c>
      <c r="T105" s="15" t="s">
        <v>3</v>
      </c>
      <c r="U105" s="15" t="s">
        <v>3</v>
      </c>
      <c r="V105" s="15" t="s">
        <v>3</v>
      </c>
      <c r="W105" s="28" t="s">
        <v>3</v>
      </c>
      <c r="X105" s="28" t="s">
        <v>3</v>
      </c>
      <c r="Y105" s="28" t="s">
        <v>3</v>
      </c>
      <c r="Z105" s="26" t="s">
        <v>3</v>
      </c>
      <c r="AA105" s="29" t="s">
        <v>3</v>
      </c>
      <c r="AB105" s="29" t="s">
        <v>3</v>
      </c>
      <c r="AC105" s="27" t="s">
        <v>3</v>
      </c>
      <c r="AD105" s="27" t="s">
        <v>3</v>
      </c>
      <c r="AE105" s="21" t="s">
        <v>3</v>
      </c>
      <c r="AF105" s="21" t="s">
        <v>3</v>
      </c>
      <c r="AG105" s="21" t="s">
        <v>3</v>
      </c>
      <c r="AH105" s="21" t="s">
        <v>3</v>
      </c>
      <c r="AI105" s="22" t="s">
        <v>3</v>
      </c>
      <c r="AJ105" s="22" t="s">
        <v>3</v>
      </c>
      <c r="AK105" s="22" t="s">
        <v>3</v>
      </c>
      <c r="AL105" s="22" t="s">
        <v>3</v>
      </c>
      <c r="AM105" s="22" t="s">
        <v>3</v>
      </c>
      <c r="AN105" s="65" t="s">
        <v>3</v>
      </c>
      <c r="AO105" s="65" t="s">
        <v>3</v>
      </c>
      <c r="AP105" s="65" t="s">
        <v>3</v>
      </c>
      <c r="AQ105" s="65" t="s">
        <v>3</v>
      </c>
      <c r="AR105" s="65" t="s">
        <v>3</v>
      </c>
      <c r="AS105" s="46" t="s">
        <v>3</v>
      </c>
      <c r="AT105" s="46" t="s">
        <v>3</v>
      </c>
      <c r="AU105" s="46" t="s">
        <v>3</v>
      </c>
      <c r="AV105" s="46" t="s">
        <v>3</v>
      </c>
      <c r="AW105" s="53" t="s">
        <v>3</v>
      </c>
      <c r="AX105" s="53" t="s">
        <v>3</v>
      </c>
      <c r="AY105" s="57" t="s">
        <v>3</v>
      </c>
      <c r="AZ105" s="57" t="s">
        <v>3</v>
      </c>
      <c r="BA105" s="121" t="s">
        <v>3</v>
      </c>
    </row>
    <row r="106" spans="1:53" x14ac:dyDescent="0.25">
      <c r="A106" s="38">
        <v>103</v>
      </c>
      <c r="B106" s="139" t="s">
        <v>26</v>
      </c>
      <c r="C106" s="38" t="s">
        <v>139</v>
      </c>
      <c r="D106" s="38" t="s">
        <v>223</v>
      </c>
      <c r="E106" s="48">
        <v>476.92832600000003</v>
      </c>
      <c r="F106" s="23" t="s">
        <v>564</v>
      </c>
      <c r="G106" s="23" t="s">
        <v>564</v>
      </c>
      <c r="H106" s="23" t="s">
        <v>564</v>
      </c>
      <c r="I106" s="25" t="s">
        <v>3</v>
      </c>
      <c r="J106" s="25" t="s">
        <v>3</v>
      </c>
      <c r="K106" s="117" t="s">
        <v>3</v>
      </c>
      <c r="L106" s="15" t="s">
        <v>3</v>
      </c>
      <c r="M106" s="15" t="s">
        <v>3</v>
      </c>
      <c r="N106" s="15">
        <f>(476.92679-476.92833)/476.92679*10^6</f>
        <v>-3.2290071187531102</v>
      </c>
      <c r="O106" s="15" t="s">
        <v>3</v>
      </c>
      <c r="P106" s="15">
        <f>(476.9263-476.92833)/476.9263*10^6</f>
        <v>-4.2564228477034094</v>
      </c>
      <c r="Q106" s="15" t="s">
        <v>3</v>
      </c>
      <c r="R106" s="15" t="s">
        <v>3</v>
      </c>
      <c r="S106" s="15">
        <f>(476.92581-476.92833)/476.92581*10^6</f>
        <v>-5.2838406879344078</v>
      </c>
      <c r="T106" s="15" t="s">
        <v>3</v>
      </c>
      <c r="U106" s="15" t="s">
        <v>3</v>
      </c>
      <c r="V106" s="15">
        <f>(476.92761-476.92833)/476.92761*10^6</f>
        <v>-1.5096630702532909</v>
      </c>
      <c r="W106" s="20" t="s">
        <v>564</v>
      </c>
      <c r="X106" s="20" t="s">
        <v>564</v>
      </c>
      <c r="Y106" s="20" t="s">
        <v>564</v>
      </c>
      <c r="Z106" s="26" t="s">
        <v>3</v>
      </c>
      <c r="AA106" s="29" t="s">
        <v>3</v>
      </c>
      <c r="AB106" s="29" t="s">
        <v>3</v>
      </c>
      <c r="AC106" s="27" t="s">
        <v>3</v>
      </c>
      <c r="AD106" s="27" t="s">
        <v>3</v>
      </c>
      <c r="AE106" s="21" t="s">
        <v>3</v>
      </c>
      <c r="AF106" s="21" t="s">
        <v>3</v>
      </c>
      <c r="AG106" s="21" t="s">
        <v>3</v>
      </c>
      <c r="AH106" s="21" t="s">
        <v>3</v>
      </c>
      <c r="AI106" s="22" t="s">
        <v>3</v>
      </c>
      <c r="AJ106" s="22" t="s">
        <v>564</v>
      </c>
      <c r="AK106" s="22" t="s">
        <v>3</v>
      </c>
      <c r="AL106" s="22" t="s">
        <v>3</v>
      </c>
      <c r="AM106" s="22" t="s">
        <v>564</v>
      </c>
      <c r="AN106" s="65" t="s">
        <v>564</v>
      </c>
      <c r="AO106" s="65" t="s">
        <v>564</v>
      </c>
      <c r="AP106" s="65" t="s">
        <v>564</v>
      </c>
      <c r="AQ106" s="65" t="s">
        <v>564</v>
      </c>
      <c r="AR106" s="65" t="s">
        <v>564</v>
      </c>
      <c r="AS106" s="46" t="s">
        <v>3</v>
      </c>
      <c r="AT106" s="46" t="s">
        <v>3</v>
      </c>
      <c r="AU106" s="46" t="s">
        <v>3</v>
      </c>
      <c r="AV106" s="46" t="s">
        <v>3</v>
      </c>
      <c r="AW106" s="53" t="s">
        <v>3</v>
      </c>
      <c r="AX106" s="53" t="s">
        <v>3</v>
      </c>
      <c r="AY106" s="57" t="s">
        <v>3</v>
      </c>
      <c r="AZ106" s="57" t="s">
        <v>3</v>
      </c>
      <c r="BA106" s="121" t="s">
        <v>3</v>
      </c>
    </row>
    <row r="107" spans="1:53" x14ac:dyDescent="0.25">
      <c r="A107" s="38">
        <v>104</v>
      </c>
      <c r="B107" s="139" t="s">
        <v>118</v>
      </c>
      <c r="C107" s="38" t="s">
        <v>138</v>
      </c>
      <c r="D107" s="38" t="s">
        <v>224</v>
      </c>
      <c r="E107" s="48">
        <v>325.17106799999999</v>
      </c>
      <c r="F107" s="23" t="s">
        <v>3</v>
      </c>
      <c r="G107" s="23" t="s">
        <v>3</v>
      </c>
      <c r="H107" s="23" t="s">
        <v>3</v>
      </c>
      <c r="I107" s="25" t="s">
        <v>3</v>
      </c>
      <c r="J107" s="25" t="s">
        <v>3</v>
      </c>
      <c r="K107" s="118">
        <v>-2.4910024836565166</v>
      </c>
      <c r="L107" s="15" t="s">
        <v>3</v>
      </c>
      <c r="M107" s="15">
        <f>(325.1713-325.17107)/325.17107*10^6</f>
        <v>0.7073199961722918</v>
      </c>
      <c r="N107" s="15">
        <f>(325.1712-325.17107)/325.17107*10^6</f>
        <v>0.39978956311470781</v>
      </c>
      <c r="O107" s="15">
        <f>(325.17099-325.17107)/325.17099*10^6</f>
        <v>-0.24602440693909894</v>
      </c>
      <c r="P107" s="15">
        <f>(325.1713-325.17107)/325.17107*10^6</f>
        <v>0.7073199961722918</v>
      </c>
      <c r="Q107" s="15">
        <f>(325.17181-325.17107)/325.17107*10^6</f>
        <v>2.2757252052204779</v>
      </c>
      <c r="R107" s="15">
        <f>(325.17139-325.17107)/325.17139*10^6</f>
        <v>0.98409641754732968</v>
      </c>
      <c r="S107" s="15">
        <f>(325.1712-325.17107)/325.17107*10^6</f>
        <v>0.39978956311470781</v>
      </c>
      <c r="T107" s="15">
        <f>(325.17139-325.17107)/325.17107*10^6</f>
        <v>0.98409738599404162</v>
      </c>
      <c r="U107" s="15">
        <f>(325.17139-325.17107)/325.17107*10^6</f>
        <v>0.98409738599404162</v>
      </c>
      <c r="V107" s="15">
        <f>(325.17139-325.17107)/325.17107*10^6</f>
        <v>0.98409738599404162</v>
      </c>
      <c r="W107" s="28">
        <f>(325.1713-325.17107)/325.17107*10^6</f>
        <v>0.7073199961722918</v>
      </c>
      <c r="X107" s="28">
        <f>(325.1712-325.17107)/325.17107*10^6</f>
        <v>0.39978956311470781</v>
      </c>
      <c r="Y107" s="28">
        <f>(325.1713-325.17107)/325.17107*10^6</f>
        <v>0.7073199961722918</v>
      </c>
      <c r="Z107" s="26" t="s">
        <v>3</v>
      </c>
      <c r="AA107" s="29">
        <f>(325.1713-325.17107)/325.17107*10^6</f>
        <v>0.7073199961722918</v>
      </c>
      <c r="AB107" s="29" t="s">
        <v>3</v>
      </c>
      <c r="AC107" s="27" t="s">
        <v>3</v>
      </c>
      <c r="AD107" s="27" t="s">
        <v>3</v>
      </c>
      <c r="AE107" s="21">
        <f>(325.17094-E107)/325.17094*10^6</f>
        <v>-0.39363911184034955</v>
      </c>
      <c r="AF107" s="21">
        <f>(325.17159-E107)/E107*10^6</f>
        <v>1.605308870804814</v>
      </c>
      <c r="AG107" s="21">
        <f>(325.17091-E107)/325.17091*10^6</f>
        <v>-0.485898323435489</v>
      </c>
      <c r="AH107" s="21">
        <f>(325.17098-E107)/325.17098*10^6</f>
        <v>-0.27062685607797793</v>
      </c>
      <c r="AI107" s="22" t="s">
        <v>3</v>
      </c>
      <c r="AJ107" s="30">
        <v>-0.16</v>
      </c>
      <c r="AK107" s="30">
        <v>1.1299999999999999</v>
      </c>
      <c r="AL107" s="22">
        <v>1.62</v>
      </c>
      <c r="AM107" s="30" t="s">
        <v>3</v>
      </c>
      <c r="AN107" s="65" t="s">
        <v>3</v>
      </c>
      <c r="AO107" s="65" t="s">
        <v>3</v>
      </c>
      <c r="AP107" s="65" t="s">
        <v>3</v>
      </c>
      <c r="AQ107" s="65" t="s">
        <v>3</v>
      </c>
      <c r="AR107" s="65" t="s">
        <v>3</v>
      </c>
      <c r="AS107" s="46">
        <f>(325.17249-E107)/E107*10^6</f>
        <v>4.3730827860458072</v>
      </c>
      <c r="AT107" s="46">
        <f>(325.17139-E107)/E107*10^6</f>
        <v>0.99024800073183639</v>
      </c>
      <c r="AU107" s="46">
        <f>(325.173-E107)/E107*10^6</f>
        <v>5.9414880047406404</v>
      </c>
      <c r="AV107" s="46">
        <f>(325.17331-E107)/E107*10^6</f>
        <v>6.8948323533624958</v>
      </c>
      <c r="AW107" s="53" t="s">
        <v>3</v>
      </c>
      <c r="AX107" s="53" t="s">
        <v>3</v>
      </c>
      <c r="AY107" s="57" t="s">
        <v>3</v>
      </c>
      <c r="AZ107" s="57" t="s">
        <v>3</v>
      </c>
      <c r="BA107" s="121">
        <f>(325.1723-E107)/325.1723*10^6</f>
        <v>3.7887606048113174</v>
      </c>
    </row>
    <row r="108" spans="1:53" x14ac:dyDescent="0.25">
      <c r="A108" s="38">
        <v>105</v>
      </c>
      <c r="B108" s="139" t="s">
        <v>108</v>
      </c>
      <c r="C108" s="38" t="s">
        <v>138</v>
      </c>
      <c r="D108" s="38" t="s">
        <v>225</v>
      </c>
      <c r="E108" s="48">
        <v>343.18163299999998</v>
      </c>
      <c r="F108" s="23" t="s">
        <v>3</v>
      </c>
      <c r="G108" s="23" t="s">
        <v>3</v>
      </c>
      <c r="H108" s="23" t="s">
        <v>3</v>
      </c>
      <c r="I108" s="25" t="s">
        <v>3</v>
      </c>
      <c r="J108" s="25" t="s">
        <v>3</v>
      </c>
      <c r="K108" s="117" t="s">
        <v>3</v>
      </c>
      <c r="L108" s="15" t="s">
        <v>3</v>
      </c>
      <c r="M108" s="15" t="s">
        <v>3</v>
      </c>
      <c r="N108" s="15" t="s">
        <v>3</v>
      </c>
      <c r="O108" s="15" t="s">
        <v>3</v>
      </c>
      <c r="P108" s="15" t="s">
        <v>3</v>
      </c>
      <c r="Q108" s="15" t="s">
        <v>3</v>
      </c>
      <c r="R108" s="15" t="s">
        <v>3</v>
      </c>
      <c r="S108" s="15" t="s">
        <v>3</v>
      </c>
      <c r="T108" s="15" t="s">
        <v>3</v>
      </c>
      <c r="U108" s="15" t="s">
        <v>3</v>
      </c>
      <c r="V108" s="15" t="s">
        <v>3</v>
      </c>
      <c r="W108" s="28" t="s">
        <v>3</v>
      </c>
      <c r="X108" s="28" t="s">
        <v>3</v>
      </c>
      <c r="Y108" s="28" t="s">
        <v>3</v>
      </c>
      <c r="Z108" s="26" t="s">
        <v>3</v>
      </c>
      <c r="AA108" s="29" t="s">
        <v>3</v>
      </c>
      <c r="AB108" s="29" t="s">
        <v>3</v>
      </c>
      <c r="AC108" s="27" t="s">
        <v>3</v>
      </c>
      <c r="AD108" s="27" t="s">
        <v>3</v>
      </c>
      <c r="AE108" s="21" t="s">
        <v>3</v>
      </c>
      <c r="AF108" s="21" t="s">
        <v>3</v>
      </c>
      <c r="AG108" s="21" t="s">
        <v>3</v>
      </c>
      <c r="AH108" s="21" t="s">
        <v>3</v>
      </c>
      <c r="AI108" s="22" t="s">
        <v>3</v>
      </c>
      <c r="AJ108" s="22" t="s">
        <v>3</v>
      </c>
      <c r="AK108" s="22" t="s">
        <v>3</v>
      </c>
      <c r="AL108" s="22" t="s">
        <v>3</v>
      </c>
      <c r="AM108" s="22" t="s">
        <v>3</v>
      </c>
      <c r="AN108" s="65" t="s">
        <v>3</v>
      </c>
      <c r="AO108" s="65" t="s">
        <v>3</v>
      </c>
      <c r="AP108" s="65" t="s">
        <v>3</v>
      </c>
      <c r="AQ108" s="65" t="s">
        <v>3</v>
      </c>
      <c r="AR108" s="65" t="s">
        <v>3</v>
      </c>
      <c r="AS108" s="46" t="s">
        <v>3</v>
      </c>
      <c r="AT108" s="46" t="s">
        <v>3</v>
      </c>
      <c r="AU108" s="46" t="s">
        <v>3</v>
      </c>
      <c r="AV108" s="46" t="s">
        <v>3</v>
      </c>
      <c r="AW108" s="53" t="s">
        <v>3</v>
      </c>
      <c r="AX108" s="53" t="s">
        <v>3</v>
      </c>
      <c r="AY108" s="57" t="s">
        <v>3</v>
      </c>
      <c r="AZ108" s="57" t="s">
        <v>3</v>
      </c>
      <c r="BA108" s="121" t="s">
        <v>3</v>
      </c>
    </row>
    <row r="109" spans="1:53" x14ac:dyDescent="0.25">
      <c r="A109" s="38">
        <v>106</v>
      </c>
      <c r="B109" s="139" t="s">
        <v>109</v>
      </c>
      <c r="C109" s="38" t="s">
        <v>138</v>
      </c>
      <c r="D109" s="38" t="s">
        <v>226</v>
      </c>
      <c r="E109" s="48">
        <v>345.173473</v>
      </c>
      <c r="F109" s="23" t="s">
        <v>3</v>
      </c>
      <c r="G109" s="23" t="s">
        <v>3</v>
      </c>
      <c r="H109" s="23" t="s">
        <v>3</v>
      </c>
      <c r="I109" s="25" t="s">
        <v>3</v>
      </c>
      <c r="J109" s="25" t="s">
        <v>3</v>
      </c>
      <c r="K109" s="117" t="s">
        <v>3</v>
      </c>
      <c r="L109" s="15" t="s">
        <v>3</v>
      </c>
      <c r="M109" s="15" t="s">
        <v>3</v>
      </c>
      <c r="N109" s="15" t="s">
        <v>3</v>
      </c>
      <c r="O109" s="15" t="s">
        <v>3</v>
      </c>
      <c r="P109" s="15" t="s">
        <v>3</v>
      </c>
      <c r="Q109" s="15" t="s">
        <v>3</v>
      </c>
      <c r="R109" s="15" t="s">
        <v>3</v>
      </c>
      <c r="S109" s="15" t="s">
        <v>3</v>
      </c>
      <c r="T109" s="15" t="s">
        <v>3</v>
      </c>
      <c r="U109" s="15" t="s">
        <v>3</v>
      </c>
      <c r="V109" s="15" t="s">
        <v>3</v>
      </c>
      <c r="W109" s="28" t="s">
        <v>3</v>
      </c>
      <c r="X109" s="28" t="s">
        <v>3</v>
      </c>
      <c r="Y109" s="28" t="s">
        <v>3</v>
      </c>
      <c r="Z109" s="26" t="s">
        <v>3</v>
      </c>
      <c r="AA109" s="29" t="s">
        <v>3</v>
      </c>
      <c r="AB109" s="29" t="s">
        <v>3</v>
      </c>
      <c r="AC109" s="27" t="s">
        <v>3</v>
      </c>
      <c r="AD109" s="27" t="s">
        <v>3</v>
      </c>
      <c r="AE109" s="21" t="s">
        <v>3</v>
      </c>
      <c r="AF109" s="21" t="s">
        <v>3</v>
      </c>
      <c r="AG109" s="21" t="s">
        <v>3</v>
      </c>
      <c r="AH109" s="21" t="s">
        <v>3</v>
      </c>
      <c r="AI109" s="22" t="s">
        <v>3</v>
      </c>
      <c r="AJ109" s="22" t="s">
        <v>3</v>
      </c>
      <c r="AK109" s="22" t="s">
        <v>3</v>
      </c>
      <c r="AL109" s="22" t="s">
        <v>3</v>
      </c>
      <c r="AM109" s="22" t="s">
        <v>3</v>
      </c>
      <c r="AN109" s="65" t="s">
        <v>3</v>
      </c>
      <c r="AO109" s="65" t="s">
        <v>3</v>
      </c>
      <c r="AP109" s="65" t="s">
        <v>3</v>
      </c>
      <c r="AQ109" s="65" t="s">
        <v>3</v>
      </c>
      <c r="AR109" s="65" t="s">
        <v>3</v>
      </c>
      <c r="AS109" s="46" t="s">
        <v>3</v>
      </c>
      <c r="AT109" s="46" t="s">
        <v>3</v>
      </c>
      <c r="AU109" s="46" t="s">
        <v>3</v>
      </c>
      <c r="AV109" s="46" t="s">
        <v>3</v>
      </c>
      <c r="AW109" s="53" t="s">
        <v>3</v>
      </c>
      <c r="AX109" s="53" t="s">
        <v>3</v>
      </c>
      <c r="AY109" s="57" t="s">
        <v>3</v>
      </c>
      <c r="AZ109" s="57" t="s">
        <v>3</v>
      </c>
      <c r="BA109" s="121" t="s">
        <v>3</v>
      </c>
    </row>
    <row r="110" spans="1:53" x14ac:dyDescent="0.25">
      <c r="A110" s="38">
        <v>107</v>
      </c>
      <c r="B110" s="139" t="s">
        <v>110</v>
      </c>
      <c r="C110" s="38" t="s">
        <v>138</v>
      </c>
      <c r="D110" s="38" t="s">
        <v>227</v>
      </c>
      <c r="E110" s="48">
        <v>341.16598299999998</v>
      </c>
      <c r="F110" s="23" t="s">
        <v>3</v>
      </c>
      <c r="G110" s="23" t="s">
        <v>3</v>
      </c>
      <c r="H110" s="23" t="s">
        <v>3</v>
      </c>
      <c r="I110" s="25" t="s">
        <v>3</v>
      </c>
      <c r="J110" s="25" t="s">
        <v>3</v>
      </c>
      <c r="K110" s="117" t="s">
        <v>3</v>
      </c>
      <c r="L110" s="15" t="s">
        <v>3</v>
      </c>
      <c r="M110" s="15">
        <f>(341.1662-341.16598)/341.16598*10^6</f>
        <v>0.64484741419114411</v>
      </c>
      <c r="N110" s="15">
        <f>(341.16611-341.16598)/341.16598*10^6</f>
        <v>0.38104619930991379</v>
      </c>
      <c r="O110" s="15">
        <f>(341.1658-341.16598)/341.1658*10^6</f>
        <v>-0.52760270812693144</v>
      </c>
      <c r="P110" s="15">
        <f>(341.1662-341.16598)/341.16598*10^6</f>
        <v>0.64484741419114411</v>
      </c>
      <c r="Q110" s="15">
        <f>(341.1658-341.16598)/341.1658*10^6</f>
        <v>-0.52760270812693144</v>
      </c>
      <c r="R110" s="15">
        <f>(341.1662-341.16598)/341.16598*10^6</f>
        <v>0.64484741419114411</v>
      </c>
      <c r="S110" s="15">
        <f>(341.1662-341.16598)/341.16598*10^6</f>
        <v>0.64484741419114411</v>
      </c>
      <c r="T110" s="15">
        <f>(341.1662-341.16598)/341.16598*10^6</f>
        <v>0.64484741419114411</v>
      </c>
      <c r="U110" s="15">
        <f>(341.16629-341.16598)/341.16598*10^6</f>
        <v>0.90864862907237443</v>
      </c>
      <c r="V110" s="15">
        <f>(341.16589-341.16598)/341.16589*10^6</f>
        <v>-0.26380128447232964</v>
      </c>
      <c r="W110" s="28">
        <f>(341.1662-341.16598)/341.16598*10^6</f>
        <v>0.64484741419114411</v>
      </c>
      <c r="X110" s="28">
        <f>(341.16641-341.16598)/341.16598*10^6</f>
        <v>1.2603835821918097</v>
      </c>
      <c r="Y110" s="28" t="s">
        <v>3</v>
      </c>
      <c r="Z110" s="26">
        <f>(341.164-341.16598)/341.164*10^6</f>
        <v>-5.8036604096657376</v>
      </c>
      <c r="AA110" s="29">
        <f>(341.16629-341.16598)/341.16598*10^6</f>
        <v>0.90864862907237443</v>
      </c>
      <c r="AB110" s="29" t="s">
        <v>3</v>
      </c>
      <c r="AC110" s="27" t="s">
        <v>3</v>
      </c>
      <c r="AD110" s="27" t="s">
        <v>3</v>
      </c>
      <c r="AE110" s="21" t="s">
        <v>3</v>
      </c>
      <c r="AF110" s="21">
        <f>(341.16631-E110)/E110*10^6</f>
        <v>0.95847773905130418</v>
      </c>
      <c r="AG110" s="21" t="s">
        <v>3</v>
      </c>
      <c r="AH110" s="21" t="s">
        <v>3</v>
      </c>
      <c r="AI110" s="22">
        <v>6.9</v>
      </c>
      <c r="AJ110" s="22" t="s">
        <v>3</v>
      </c>
      <c r="AK110" s="22" t="s">
        <v>3</v>
      </c>
      <c r="AL110" s="22">
        <v>1.91</v>
      </c>
      <c r="AM110" s="30" t="s">
        <v>3</v>
      </c>
      <c r="AN110" s="66">
        <f>(341.165481892198-E110)/MIN(341.165481892198,E110)*10^6</f>
        <v>-1.4688115550713594</v>
      </c>
      <c r="AO110" s="66">
        <f>(341.166177210028-E110)/MIN(341.166177210028,E110)*10^6</f>
        <v>0.56925378765459311</v>
      </c>
      <c r="AP110" s="65" t="s">
        <v>3</v>
      </c>
      <c r="AQ110" s="65" t="s">
        <v>3</v>
      </c>
      <c r="AR110" s="65" t="s">
        <v>3</v>
      </c>
      <c r="AS110" s="46" t="s">
        <v>3</v>
      </c>
      <c r="AT110" s="46" t="s">
        <v>3</v>
      </c>
      <c r="AU110" s="46" t="s">
        <v>3</v>
      </c>
      <c r="AV110" s="46" t="s">
        <v>3</v>
      </c>
      <c r="AW110" s="53" t="s">
        <v>3</v>
      </c>
      <c r="AX110" s="53" t="s">
        <v>3</v>
      </c>
      <c r="AY110" s="57" t="s">
        <v>3</v>
      </c>
      <c r="AZ110" s="57">
        <f>(341.1674981-E110)/341.1674981*10^6</f>
        <v>4.4409271353330784</v>
      </c>
      <c r="BA110" s="121" t="s">
        <v>3</v>
      </c>
    </row>
    <row r="111" spans="1:53" x14ac:dyDescent="0.25">
      <c r="A111" s="38">
        <v>108</v>
      </c>
      <c r="B111" s="139" t="s">
        <v>111</v>
      </c>
      <c r="C111" s="38" t="s">
        <v>138</v>
      </c>
      <c r="D111" s="38" t="s">
        <v>228</v>
      </c>
      <c r="E111" s="48">
        <v>312.16324300000002</v>
      </c>
      <c r="F111" s="23" t="s">
        <v>3</v>
      </c>
      <c r="G111" s="23" t="s">
        <v>3</v>
      </c>
      <c r="H111" s="23" t="s">
        <v>3</v>
      </c>
      <c r="I111" s="25" t="s">
        <v>3</v>
      </c>
      <c r="J111" s="25" t="s">
        <v>3</v>
      </c>
      <c r="K111" s="117" t="s">
        <v>3</v>
      </c>
      <c r="L111" s="15" t="s">
        <v>3</v>
      </c>
      <c r="M111" s="15">
        <f>(312.16299-312.16324)/312.16299*10^6</f>
        <v>-0.80086367699799488</v>
      </c>
      <c r="N111" s="15">
        <f>(312.16269-312.16324)/312.16269*10^6</f>
        <v>-1.7619017826109378</v>
      </c>
      <c r="O111" s="15">
        <f>(312.16321-312.16324)/312.16321*10^6</f>
        <v>-9.6103573451531019E-2</v>
      </c>
      <c r="P111" s="15">
        <f>(312.16281-312.16324)/312.16281*10^6</f>
        <v>-1.3774863187398247</v>
      </c>
      <c r="Q111" s="15">
        <f>(312.16351-312.16324)/312.16324*10^6</f>
        <v>0.86493207848700115</v>
      </c>
      <c r="R111" s="15">
        <f>(312.1626-312.16324)/312.1626*10^6</f>
        <v>-2.0502135745145993</v>
      </c>
      <c r="S111" s="15">
        <f>(312.16281-312.16324)/312.16281*10^6</f>
        <v>-1.3774863187398247</v>
      </c>
      <c r="T111" s="15">
        <f>(312.16299-312.16324)/312.16299*10^6</f>
        <v>-0.80086367699799488</v>
      </c>
      <c r="U111" s="15">
        <f>(312.16309-312.16324)/312.16309*10^6</f>
        <v>-0.480518052157758</v>
      </c>
      <c r="V111" s="15">
        <f>(312.16309-312.16324)/312.16309*10^6</f>
        <v>-0.480518052157758</v>
      </c>
      <c r="W111" s="28">
        <f>(312.1629-312.16324)/312.1629*10^6</f>
        <v>-1.0891749147455827</v>
      </c>
      <c r="X111" s="28">
        <f>(312.16281-312.16324)/312.16281*10^6</f>
        <v>-1.3774863187398247</v>
      </c>
      <c r="Y111" s="28" t="s">
        <v>3</v>
      </c>
      <c r="Z111" s="26" t="s">
        <v>3</v>
      </c>
      <c r="AA111" s="29">
        <f>(312.16309-312.16324)/312.16309*10^6</f>
        <v>-0.480518052157758</v>
      </c>
      <c r="AB111" s="29" t="s">
        <v>3</v>
      </c>
      <c r="AC111" s="27">
        <f>(312.16281-312.16324)/312.16281*10^6</f>
        <v>-1.3774863187398247</v>
      </c>
      <c r="AD111" s="27" t="s">
        <v>3</v>
      </c>
      <c r="AE111" s="21" t="s">
        <v>3</v>
      </c>
      <c r="AF111" s="21" t="s">
        <v>3</v>
      </c>
      <c r="AG111" s="21" t="s">
        <v>3</v>
      </c>
      <c r="AH111" s="21" t="s">
        <v>3</v>
      </c>
      <c r="AI111" s="22" t="s">
        <v>3</v>
      </c>
      <c r="AJ111" s="22" t="s">
        <v>3</v>
      </c>
      <c r="AK111" s="22" t="s">
        <v>3</v>
      </c>
      <c r="AL111" s="22" t="s">
        <v>3</v>
      </c>
      <c r="AM111" s="22" t="s">
        <v>3</v>
      </c>
      <c r="AN111" s="66">
        <f>(311.154690050472-311.155418)/MIN(311.154690050472,311.155418)*10^6</f>
        <v>-2.3395100612249018</v>
      </c>
      <c r="AO111" s="65" t="s">
        <v>3</v>
      </c>
      <c r="AP111" s="65" t="s">
        <v>3</v>
      </c>
      <c r="AQ111" s="65" t="s">
        <v>3</v>
      </c>
      <c r="AR111" s="65" t="s">
        <v>3</v>
      </c>
      <c r="AS111" s="46" t="s">
        <v>3</v>
      </c>
      <c r="AT111" s="46" t="s">
        <v>3</v>
      </c>
      <c r="AU111" s="46" t="s">
        <v>3</v>
      </c>
      <c r="AV111" s="46" t="s">
        <v>3</v>
      </c>
      <c r="AW111" s="53" t="s">
        <v>3</v>
      </c>
      <c r="AX111" s="53" t="s">
        <v>3</v>
      </c>
      <c r="AY111" s="57" t="s">
        <v>3</v>
      </c>
      <c r="AZ111" s="57" t="s">
        <v>3</v>
      </c>
      <c r="BA111" s="121" t="s">
        <v>3</v>
      </c>
    </row>
    <row r="112" spans="1:53" x14ac:dyDescent="0.25">
      <c r="A112" s="38">
        <v>109</v>
      </c>
      <c r="B112" s="139" t="s">
        <v>112</v>
      </c>
      <c r="C112" s="38" t="s">
        <v>138</v>
      </c>
      <c r="D112" s="38" t="s">
        <v>229</v>
      </c>
      <c r="E112" s="48">
        <v>339.15033299999999</v>
      </c>
      <c r="F112" s="23" t="s">
        <v>3</v>
      </c>
      <c r="G112" s="23" t="s">
        <v>3</v>
      </c>
      <c r="H112" s="23" t="s">
        <v>3</v>
      </c>
      <c r="I112" s="25" t="s">
        <v>3</v>
      </c>
      <c r="J112" s="25" t="s">
        <v>3</v>
      </c>
      <c r="K112" s="117" t="s">
        <v>3</v>
      </c>
      <c r="L112" s="15" t="s">
        <v>3</v>
      </c>
      <c r="M112" s="15">
        <f>(339.15039-339.15033)/339.15033*10^6</f>
        <v>0.17691269832774398</v>
      </c>
      <c r="N112" s="15">
        <f>(339.15051-339.15033)/339.15033*10^6</f>
        <v>0.5307380948156265</v>
      </c>
      <c r="O112" s="15">
        <f>(339.15009-339.15033)/339.15009*10^6</f>
        <v>-0.70765129391337001</v>
      </c>
      <c r="P112" s="15">
        <f>(339.1514-339.15033)/339.15033*10^6</f>
        <v>3.1549431192562714</v>
      </c>
      <c r="Q112" s="15">
        <f>(339.15091-339.15033)/339.15033*10^6</f>
        <v>1.7101560833320424</v>
      </c>
      <c r="R112" s="15">
        <f>(339.15039-339.15033)/339.15033*10^6</f>
        <v>0.17691269832774398</v>
      </c>
      <c r="S112" s="15">
        <f>(339.15091-339.15033)/339.15033*10^6</f>
        <v>1.7101560833320424</v>
      </c>
      <c r="T112" s="15" t="s">
        <v>3</v>
      </c>
      <c r="U112" s="15">
        <f>(339.15179-339.15033)/339.15033*10^6</f>
        <v>4.3048756579675942</v>
      </c>
      <c r="V112" s="15">
        <f>(339.15051-339.15033)/339.15033*10^6</f>
        <v>0.5307380948156265</v>
      </c>
      <c r="W112" s="28" t="s">
        <v>3</v>
      </c>
      <c r="X112" s="28" t="s">
        <v>3</v>
      </c>
      <c r="Y112" s="28" t="s">
        <v>3</v>
      </c>
      <c r="Z112" s="26" t="s">
        <v>3</v>
      </c>
      <c r="AA112" s="29" t="s">
        <v>3</v>
      </c>
      <c r="AB112" s="29" t="s">
        <v>3</v>
      </c>
      <c r="AC112" s="27" t="s">
        <v>3</v>
      </c>
      <c r="AD112" s="27" t="s">
        <v>3</v>
      </c>
      <c r="AE112" s="21">
        <f>(339.14925-E112)/339.14925*10^6</f>
        <v>-3.1932843725709903</v>
      </c>
      <c r="AF112" s="21">
        <f>(339.15074-E112)/E112*10^6</f>
        <v>1.2000577926473843</v>
      </c>
      <c r="AG112" s="21" t="s">
        <v>3</v>
      </c>
      <c r="AH112" s="21" t="s">
        <v>3</v>
      </c>
      <c r="AI112" s="22" t="s">
        <v>3</v>
      </c>
      <c r="AJ112" s="22" t="s">
        <v>3</v>
      </c>
      <c r="AK112" s="22" t="s">
        <v>3</v>
      </c>
      <c r="AL112" s="22">
        <v>5.78</v>
      </c>
      <c r="AM112" s="30" t="s">
        <v>3</v>
      </c>
      <c r="AN112" s="65" t="s">
        <v>3</v>
      </c>
      <c r="AO112" s="65" t="s">
        <v>3</v>
      </c>
      <c r="AP112" s="65" t="s">
        <v>3</v>
      </c>
      <c r="AQ112" s="65" t="s">
        <v>3</v>
      </c>
      <c r="AR112" s="65" t="s">
        <v>3</v>
      </c>
      <c r="AS112" s="46" t="s">
        <v>3</v>
      </c>
      <c r="AT112" s="46" t="s">
        <v>3</v>
      </c>
      <c r="AU112" s="46" t="s">
        <v>3</v>
      </c>
      <c r="AV112" s="46" t="s">
        <v>3</v>
      </c>
      <c r="AW112" s="53" t="s">
        <v>3</v>
      </c>
      <c r="AX112" s="53" t="s">
        <v>3</v>
      </c>
      <c r="AY112" s="57" t="s">
        <v>3</v>
      </c>
      <c r="AZ112" s="57" t="s">
        <v>3</v>
      </c>
      <c r="BA112" s="121">
        <f>(339.14977-E112)/339.14977*10^6</f>
        <v>-1.6600335598035263</v>
      </c>
    </row>
    <row r="113" spans="1:53" x14ac:dyDescent="0.25">
      <c r="A113" s="38">
        <v>110</v>
      </c>
      <c r="B113" s="139" t="s">
        <v>113</v>
      </c>
      <c r="C113" s="38" t="s">
        <v>138</v>
      </c>
      <c r="D113" s="38" t="s">
        <v>230</v>
      </c>
      <c r="E113" s="48">
        <v>267.17031900000001</v>
      </c>
      <c r="F113" s="23">
        <v>-0.25</v>
      </c>
      <c r="G113" s="23">
        <v>4.2699999999999996</v>
      </c>
      <c r="H113" s="23">
        <f>(267.17221-E113)/E113*10^6</f>
        <v>7.0778820307525665</v>
      </c>
      <c r="I113" s="25" t="s">
        <v>3</v>
      </c>
      <c r="J113" s="25" t="s">
        <v>3</v>
      </c>
      <c r="K113" s="117" t="s">
        <v>3</v>
      </c>
      <c r="L113" s="15" t="s">
        <v>3</v>
      </c>
      <c r="M113" s="15">
        <f>(267.1698-267.17032)/267.1698*10^6</f>
        <v>-1.9463277660668414</v>
      </c>
      <c r="N113" s="15">
        <f>(267.1705-267.17032)/267.17032*10^6</f>
        <v>0.67372753081364367</v>
      </c>
      <c r="O113" s="15">
        <f>(267.17029-267.17032)/267.17029*10^6</f>
        <v>-0.11228793433993239</v>
      </c>
      <c r="P113" s="15">
        <f>(267.17041-267.17032)/267.17032*10^6</f>
        <v>0.33686376540682184</v>
      </c>
      <c r="Q113" s="15">
        <f>(267.17068-267.17032)/267.17032*10^6</f>
        <v>1.3474550616272873</v>
      </c>
      <c r="R113" s="15">
        <f>(267.17059-267.17032)/267.17032*10^6</f>
        <v>1.0105912962204655</v>
      </c>
      <c r="S113" s="15">
        <f>(267.16959-267.17032)/267.16959*10^6</f>
        <v>-2.7323468961266011</v>
      </c>
      <c r="T113" s="15">
        <f>(267.17041-267.17032)/267.17032*10^6</f>
        <v>0.33686376540682184</v>
      </c>
      <c r="U113" s="15">
        <f>(267.17041-267.17032)/267.17032*10^6</f>
        <v>0.33686376540682184</v>
      </c>
      <c r="V113" s="15">
        <f>(267.17041-267.17032)/267.17032*10^6</f>
        <v>0.33686376540682184</v>
      </c>
      <c r="W113" s="28">
        <f>(267.1705-267.17032)/267.17032*10^6</f>
        <v>0.67372753081364367</v>
      </c>
      <c r="X113" s="28">
        <f>(267.1705-267.17032)/267.17032*10^6</f>
        <v>0.67372753081364367</v>
      </c>
      <c r="Y113" s="28" t="s">
        <v>3</v>
      </c>
      <c r="Z113" s="26" t="s">
        <v>3</v>
      </c>
      <c r="AA113" s="29">
        <f>(267.17029-267.17032)/267.17029*10^6</f>
        <v>-0.11228793433993239</v>
      </c>
      <c r="AB113" s="29" t="s">
        <v>3</v>
      </c>
      <c r="AC113" s="27" t="s">
        <v>3</v>
      </c>
      <c r="AD113" s="27" t="s">
        <v>3</v>
      </c>
      <c r="AE113" s="21">
        <f>(267.17066-E113)/267.17066*10^6</f>
        <v>1.2763377535231939</v>
      </c>
      <c r="AF113" s="21">
        <f>(267.17103-E113)/267.17103*10^6</f>
        <v>2.6612166744539767</v>
      </c>
      <c r="AG113" s="21" t="s">
        <v>3</v>
      </c>
      <c r="AH113" s="21" t="s">
        <v>3</v>
      </c>
      <c r="AI113" s="22" t="s">
        <v>3</v>
      </c>
      <c r="AJ113" s="30">
        <v>1.81</v>
      </c>
      <c r="AK113" s="30">
        <v>3.01</v>
      </c>
      <c r="AL113" s="22">
        <v>0.3</v>
      </c>
      <c r="AM113" s="30" t="s">
        <v>3</v>
      </c>
      <c r="AN113" s="65" t="s">
        <v>3</v>
      </c>
      <c r="AO113" s="65" t="s">
        <v>3</v>
      </c>
      <c r="AP113" s="65" t="s">
        <v>3</v>
      </c>
      <c r="AQ113" s="65" t="s">
        <v>3</v>
      </c>
      <c r="AR113" s="65" t="s">
        <v>3</v>
      </c>
      <c r="AS113" s="46" t="s">
        <v>3</v>
      </c>
      <c r="AT113" s="46">
        <f>(267.1694-E113)/267.194*10^6</f>
        <v>-3.439448490648473</v>
      </c>
      <c r="AU113" s="46" t="s">
        <v>3</v>
      </c>
      <c r="AV113" s="46">
        <f>(267.1731-E113)/267.1731*10^6</f>
        <v>10.408982041868702</v>
      </c>
      <c r="AW113" s="53" t="s">
        <v>3</v>
      </c>
      <c r="AX113" s="53" t="s">
        <v>3</v>
      </c>
      <c r="AY113" s="57">
        <f>(267.17039-E113)/267.17039
*10^6</f>
        <v>0.26574801193827086</v>
      </c>
      <c r="AZ113" s="57">
        <f>(267.171328-E113)/267.171328*10^6</f>
        <v>3.7766028546688726</v>
      </c>
      <c r="BA113" s="121">
        <f>(267.17063-E113)/267.17063*10^6</f>
        <v>1.1640501053974694</v>
      </c>
    </row>
    <row r="114" spans="1:53" x14ac:dyDescent="0.25">
      <c r="A114" s="38">
        <v>111</v>
      </c>
      <c r="B114" s="139" t="s">
        <v>121</v>
      </c>
      <c r="C114" s="38" t="s">
        <v>138</v>
      </c>
      <c r="D114" s="38" t="s">
        <v>231</v>
      </c>
      <c r="E114" s="48">
        <v>268.19072</v>
      </c>
      <c r="F114" s="23" t="s">
        <v>3</v>
      </c>
      <c r="G114" s="23" t="s">
        <v>3</v>
      </c>
      <c r="H114" s="23" t="s">
        <v>3</v>
      </c>
      <c r="I114" s="25" t="s">
        <v>3</v>
      </c>
      <c r="J114" s="25" t="s">
        <v>3</v>
      </c>
      <c r="K114" s="118">
        <v>-2.945673832378561</v>
      </c>
      <c r="L114" s="15" t="s">
        <v>3</v>
      </c>
      <c r="M114" s="15">
        <f>(268.19089-268.1907)/268.1907*10^6</f>
        <v>0.70845111344982092</v>
      </c>
      <c r="N114" s="15">
        <f>(268.19089-268.1907)/268.1907*10^6</f>
        <v>0.70845111344982092</v>
      </c>
      <c r="O114" s="15">
        <f>(268.1907-268.1907)/268.1907*10^6</f>
        <v>0</v>
      </c>
      <c r="P114" s="15">
        <f>(268.19089-268.1907)/268.1907*10^6</f>
        <v>0.70845111344982092</v>
      </c>
      <c r="Q114" s="15">
        <f>(268.19131-268.1907)/268.1907*10^6</f>
        <v>2.2745009427794116</v>
      </c>
      <c r="R114" s="15">
        <f>(268.19101-268.1907)/268.1907*10^6</f>
        <v>1.1558939217994251</v>
      </c>
      <c r="S114" s="15">
        <f>(268.1907-268.1907)/268.1907*10^6</f>
        <v>0</v>
      </c>
      <c r="T114" s="15">
        <f>(268.1904-268.1907)/268.1904*10^6</f>
        <v>-1.1186082722630537</v>
      </c>
      <c r="U114" s="15">
        <f>(268.19089-268.1907)/268.1907*10^6</f>
        <v>0.70845111344982092</v>
      </c>
      <c r="V114" s="15">
        <f>(268.19101-268.1907)/268.1907*10^6</f>
        <v>1.1558939217994251</v>
      </c>
      <c r="W114" s="28">
        <f>(268.1908-268.1907)/268.1907*10^6</f>
        <v>0.37286900713462984</v>
      </c>
      <c r="X114" s="28">
        <f>(268.19089-268.1907)/268.1907*10^6</f>
        <v>0.70845111344982092</v>
      </c>
      <c r="Y114" s="28" t="s">
        <v>3</v>
      </c>
      <c r="Z114" s="26">
        <f>(268.19131-268.1907)/268.1907*10^6</f>
        <v>2.2745009427794116</v>
      </c>
      <c r="AA114" s="29">
        <f>(268.1908-268.1907)/268.1907*10^6</f>
        <v>0.37286900713462984</v>
      </c>
      <c r="AB114" s="29" t="s">
        <v>3</v>
      </c>
      <c r="AC114" s="27">
        <f>(268.19061-268.1907)/268.19061*10^6</f>
        <v>-0.33558221893057899</v>
      </c>
      <c r="AD114" s="27" t="s">
        <v>3</v>
      </c>
      <c r="AE114" s="21">
        <f>(268.19089-E114)/E114*10^6</f>
        <v>0.6338772647522577</v>
      </c>
      <c r="AF114" s="21">
        <f>(268.19135-E114)/E114*10^6</f>
        <v>2.349074569026917</v>
      </c>
      <c r="AG114" s="21">
        <f>(268.19135-E114)/E114*10^6</f>
        <v>2.349074569026917</v>
      </c>
      <c r="AH114" s="21" t="s">
        <v>3</v>
      </c>
      <c r="AI114" s="22">
        <v>0.4</v>
      </c>
      <c r="AJ114" s="30">
        <v>2.68</v>
      </c>
      <c r="AK114" s="30">
        <v>0.4</v>
      </c>
      <c r="AL114" s="22">
        <v>-0.62</v>
      </c>
      <c r="AM114" s="30" t="s">
        <v>3</v>
      </c>
      <c r="AN114" s="66">
        <f>(268.19013692871-E114)/MIN(268.19013692871,E114)*10^6</f>
        <v>-2.1740966938102604</v>
      </c>
      <c r="AO114" s="65" t="s">
        <v>3</v>
      </c>
      <c r="AP114" s="65" t="s">
        <v>3</v>
      </c>
      <c r="AQ114" s="65" t="s">
        <v>3</v>
      </c>
      <c r="AR114" s="65" t="s">
        <v>3</v>
      </c>
      <c r="AS114" s="46" t="s">
        <v>3</v>
      </c>
      <c r="AT114" s="46">
        <f>(268.1897-E114)/268.1897*10^6</f>
        <v>-3.8032780527466246</v>
      </c>
      <c r="AU114" s="46" t="s">
        <v>3</v>
      </c>
      <c r="AV114" s="46">
        <f>(268.19101-E114)/E114*10^6</f>
        <v>1.0813200397343532</v>
      </c>
      <c r="AW114" s="53" t="s">
        <v>3</v>
      </c>
      <c r="AX114" s="53" t="s">
        <v>3</v>
      </c>
      <c r="AY114" s="57" t="s">
        <v>3</v>
      </c>
      <c r="AZ114" s="57">
        <f>(268.191628-E114)/268.191628*10^6</f>
        <v>3.3856388685677286</v>
      </c>
      <c r="BA114" s="121">
        <f>(268.19118-E114)/268.19118*10^6</f>
        <v>1.7151943623779129</v>
      </c>
    </row>
    <row r="115" spans="1:53" x14ac:dyDescent="0.25">
      <c r="A115" s="38">
        <v>112</v>
      </c>
      <c r="B115" s="139" t="s">
        <v>104</v>
      </c>
      <c r="C115" s="38" t="s">
        <v>138</v>
      </c>
      <c r="D115" s="38" t="s">
        <v>232</v>
      </c>
      <c r="E115" s="48">
        <v>268.154335</v>
      </c>
      <c r="F115" s="23" t="s">
        <v>3</v>
      </c>
      <c r="G115" s="23" t="s">
        <v>3</v>
      </c>
      <c r="H115" s="23" t="s">
        <v>3</v>
      </c>
      <c r="I115" s="25" t="s">
        <v>3</v>
      </c>
      <c r="J115" s="25" t="s">
        <v>3</v>
      </c>
      <c r="K115" s="117" t="s">
        <v>3</v>
      </c>
      <c r="L115" s="15" t="s">
        <v>3</v>
      </c>
      <c r="M115" s="15">
        <f>(268.1539-268.15434)/268.1539*10^6</f>
        <v>-1.6408487811258077</v>
      </c>
      <c r="N115" s="15">
        <f>(268.15439-268.15434)/268.15434*10^6</f>
        <v>0.18645978277826486</v>
      </c>
      <c r="O115" s="15">
        <f>(268.15439-268.15434)/268.15434*10^6</f>
        <v>0.18645978277826486</v>
      </c>
      <c r="P115" s="15">
        <f>(268.15439-268.15434)/268.15434*10^6</f>
        <v>0.18645978277826486</v>
      </c>
      <c r="Q115" s="15">
        <f>(268.15411-268.15434)/268.15411*10^6</f>
        <v>-0.85771573662525624</v>
      </c>
      <c r="R115" s="15">
        <f>(268.15399-268.15434)/268.15399*10^6</f>
        <v>-1.3052201832573374</v>
      </c>
      <c r="S115" s="15">
        <f>(268.1543-268.15434)/268.1543*10^6</f>
        <v>-0.1491678485584477</v>
      </c>
      <c r="T115" s="15">
        <f>(268.15451-268.15434)/268.15434*10^6</f>
        <v>0.63396326170047679</v>
      </c>
      <c r="U115" s="15">
        <f>(268.15439-268.15434)/268.15434*10^6</f>
        <v>0.18645978277826486</v>
      </c>
      <c r="V115" s="15">
        <f>(268.15399-268.15434)/268.15399*10^6</f>
        <v>-1.3052201832573374</v>
      </c>
      <c r="W115" s="28">
        <f>(268.15439-268.15434)/268.15434*10^6</f>
        <v>0.18645978277826486</v>
      </c>
      <c r="X115" s="28">
        <f>(268.1546-268.15434)/268.15434*10^6</f>
        <v>0.96959087078614559</v>
      </c>
      <c r="Y115" s="28" t="s">
        <v>3</v>
      </c>
      <c r="Z115" s="26">
        <f>(268.155-268.15434)/268.15434*10^6</f>
        <v>2.4612691332242447</v>
      </c>
      <c r="AA115" s="29">
        <f>(268.1543-268.15434)/268.1543*10^6</f>
        <v>-0.1491678485584477</v>
      </c>
      <c r="AB115" s="29" t="s">
        <v>3</v>
      </c>
      <c r="AC115" s="27">
        <f>(268.15421-268.15434)/268.15421*10^6</f>
        <v>-0.48479567041980093</v>
      </c>
      <c r="AD115" s="27" t="s">
        <v>3</v>
      </c>
      <c r="AE115" s="21">
        <f>(268.15455-E115)/E115*10^6</f>
        <v>0.80177708098124889</v>
      </c>
      <c r="AF115" s="21">
        <f>(268.15485-E115)/E115*10^6</f>
        <v>1.920535798935149</v>
      </c>
      <c r="AG115" s="21">
        <f>(268.15319-E115)/268.15319*10^6</f>
        <v>-4.2699473387139912</v>
      </c>
      <c r="AH115" s="21" t="s">
        <v>3</v>
      </c>
      <c r="AI115" s="22">
        <v>2.17</v>
      </c>
      <c r="AJ115" s="30">
        <v>1.48</v>
      </c>
      <c r="AK115" s="30">
        <v>2.84</v>
      </c>
      <c r="AL115" s="22">
        <v>2.2599999999999998</v>
      </c>
      <c r="AM115" s="30" t="s">
        <v>3</v>
      </c>
      <c r="AN115" s="65" t="s">
        <v>3</v>
      </c>
      <c r="AO115" s="65" t="s">
        <v>3</v>
      </c>
      <c r="AP115" s="65" t="s">
        <v>3</v>
      </c>
      <c r="AQ115" s="65" t="s">
        <v>3</v>
      </c>
      <c r="AR115" s="65" t="s">
        <v>3</v>
      </c>
      <c r="AS115" s="46">
        <f>(268.1553-E115)/E115*10^6</f>
        <v>3.5986738756540193</v>
      </c>
      <c r="AT115" s="46">
        <f>(268.15259-E115)/268.1525*10^6</f>
        <v>-6.50749107328138</v>
      </c>
      <c r="AU115" s="46">
        <f>(268.15369-E115)/268.15369*10^6</f>
        <v>-2.4053370290000142</v>
      </c>
      <c r="AV115" s="46">
        <f>(268.1539-E115)/268.1539*10^6</f>
        <v>-1.6222027722951464</v>
      </c>
      <c r="AW115" s="53" t="s">
        <v>3</v>
      </c>
      <c r="AX115" s="53" t="s">
        <v>3</v>
      </c>
      <c r="AY115" s="57" t="s">
        <v>3</v>
      </c>
      <c r="AZ115" s="57" t="s">
        <v>3</v>
      </c>
      <c r="BA115" s="121" t="s">
        <v>3</v>
      </c>
    </row>
    <row r="116" spans="1:53" x14ac:dyDescent="0.25">
      <c r="A116" s="38">
        <v>113</v>
      </c>
      <c r="B116" s="139" t="s">
        <v>114</v>
      </c>
      <c r="C116" s="38" t="s">
        <v>138</v>
      </c>
      <c r="D116" s="38" t="s">
        <v>233</v>
      </c>
      <c r="E116" s="48">
        <v>216.10104999999999</v>
      </c>
      <c r="F116" s="23" t="s">
        <v>3</v>
      </c>
      <c r="G116" s="23" t="s">
        <v>3</v>
      </c>
      <c r="H116" s="23" t="s">
        <v>3</v>
      </c>
      <c r="I116" s="25" t="s">
        <v>3</v>
      </c>
      <c r="J116" s="25" t="s">
        <v>3</v>
      </c>
      <c r="K116" s="117" t="s">
        <v>3</v>
      </c>
      <c r="L116" s="15" t="s">
        <v>3</v>
      </c>
      <c r="M116" s="15">
        <f>(216.1012-216.10105)/216.10105*10^6</f>
        <v>0.69411971861862931</v>
      </c>
      <c r="N116" s="15">
        <f>(216.1013-216.10105)/216.10105*10^6</f>
        <v>1.1568661976538752</v>
      </c>
      <c r="O116" s="15">
        <f>(216.1011-216.10105)/216.10105*10^6</f>
        <v>0.23137323958338327</v>
      </c>
      <c r="P116" s="15" t="s">
        <v>3</v>
      </c>
      <c r="Q116" s="15" t="s">
        <v>3</v>
      </c>
      <c r="R116" s="15" t="s">
        <v>3</v>
      </c>
      <c r="S116" s="15" t="s">
        <v>3</v>
      </c>
      <c r="T116" s="15" t="s">
        <v>3</v>
      </c>
      <c r="U116" s="15" t="s">
        <v>3</v>
      </c>
      <c r="V116" s="15" t="s">
        <v>3</v>
      </c>
      <c r="W116" s="28">
        <f>(216.1012-216.10105)/216.10105*10^6</f>
        <v>0.69411971861862931</v>
      </c>
      <c r="X116" s="28">
        <f>(216.1013-216.10105)/216.10105*10^6</f>
        <v>1.1568661976538752</v>
      </c>
      <c r="Y116" s="28" t="s">
        <v>3</v>
      </c>
      <c r="Z116" s="26">
        <f>(216.1017-216.10105)/216.10105*10^6</f>
        <v>3.0078521136633394</v>
      </c>
      <c r="AA116" s="29">
        <f>(216.1013-216.10105)/216.10105*10^6</f>
        <v>1.1568661976538752</v>
      </c>
      <c r="AB116" s="29" t="s">
        <v>3</v>
      </c>
      <c r="AC116" s="27">
        <f>(216.10091-216.10105)/216.10091*10^6</f>
        <v>-0.64784549027393956</v>
      </c>
      <c r="AD116" s="27" t="s">
        <v>3</v>
      </c>
      <c r="AE116" s="21" t="s">
        <v>3</v>
      </c>
      <c r="AF116" s="21" t="s">
        <v>3</v>
      </c>
      <c r="AG116" s="21" t="s">
        <v>3</v>
      </c>
      <c r="AH116" s="21" t="s">
        <v>3</v>
      </c>
      <c r="AI116" s="22" t="s">
        <v>3</v>
      </c>
      <c r="AJ116" s="22" t="s">
        <v>3</v>
      </c>
      <c r="AK116" s="22" t="s">
        <v>3</v>
      </c>
      <c r="AL116" s="22" t="s">
        <v>3</v>
      </c>
      <c r="AM116" s="22" t="s">
        <v>3</v>
      </c>
      <c r="AN116" s="65" t="s">
        <v>3</v>
      </c>
      <c r="AO116" s="65" t="s">
        <v>3</v>
      </c>
      <c r="AP116" s="65" t="s">
        <v>3</v>
      </c>
      <c r="AQ116" s="65" t="s">
        <v>3</v>
      </c>
      <c r="AR116" s="65" t="s">
        <v>3</v>
      </c>
      <c r="AS116" s="46" t="s">
        <v>3</v>
      </c>
      <c r="AT116" s="46" t="s">
        <v>3</v>
      </c>
      <c r="AU116" s="46" t="s">
        <v>3</v>
      </c>
      <c r="AV116" s="46" t="s">
        <v>3</v>
      </c>
      <c r="AW116" s="53" t="s">
        <v>3</v>
      </c>
      <c r="AX116" s="53" t="s">
        <v>3</v>
      </c>
      <c r="AY116" s="57" t="s">
        <v>3</v>
      </c>
      <c r="AZ116" s="57" t="s">
        <v>3</v>
      </c>
      <c r="BA116" s="121" t="s">
        <v>3</v>
      </c>
    </row>
    <row r="117" spans="1:53" x14ac:dyDescent="0.25">
      <c r="A117" s="38">
        <v>114</v>
      </c>
      <c r="B117" s="139" t="s">
        <v>1</v>
      </c>
      <c r="C117" s="38" t="s">
        <v>138</v>
      </c>
      <c r="D117" s="38" t="s">
        <v>234</v>
      </c>
      <c r="E117" s="48">
        <v>198.13493700000001</v>
      </c>
      <c r="F117" s="23" t="s">
        <v>3</v>
      </c>
      <c r="G117" s="23" t="s">
        <v>3</v>
      </c>
      <c r="H117" s="23" t="s">
        <v>3</v>
      </c>
      <c r="I117" s="25" t="s">
        <v>3</v>
      </c>
      <c r="J117" s="25" t="s">
        <v>3</v>
      </c>
      <c r="K117" s="117" t="s">
        <v>3</v>
      </c>
      <c r="L117" s="15" t="s">
        <v>3</v>
      </c>
      <c r="M117" s="15">
        <f>(198.1349-198.1349)/198.1349*10^6</f>
        <v>0</v>
      </c>
      <c r="N117" s="15">
        <f>(198.1349-198.1349)/198.1349*10^6</f>
        <v>0</v>
      </c>
      <c r="O117" s="15" t="s">
        <v>3</v>
      </c>
      <c r="P117" s="15" t="s">
        <v>3</v>
      </c>
      <c r="Q117" s="15">
        <f>(198.1348-198.1349)/198.1348*10^6</f>
        <v>-0.50470689639022492</v>
      </c>
      <c r="R117" s="15" t="s">
        <v>3</v>
      </c>
      <c r="S117" s="15" t="s">
        <v>3</v>
      </c>
      <c r="T117" s="15">
        <f>(198.1348-198.1349)/198.1348*10^6</f>
        <v>-0.50470689639022492</v>
      </c>
      <c r="U117" s="15" t="s">
        <v>3</v>
      </c>
      <c r="V117" s="15">
        <f>(198.1349-198.1349)/198.1349*10^6</f>
        <v>0</v>
      </c>
      <c r="W117" s="28">
        <f>(198.13499-198.1349)/198.1349*10^6</f>
        <v>0.45423597760992906</v>
      </c>
      <c r="X117" s="28">
        <f>(198.13499-198.1349)/198.1349*10^6</f>
        <v>0.45423597760992906</v>
      </c>
      <c r="Y117" s="28" t="s">
        <v>3</v>
      </c>
      <c r="Z117" s="26">
        <f>(198.1355-198.1349)/198.1349*10^6</f>
        <v>3.0282398508284909</v>
      </c>
      <c r="AA117" s="29">
        <f>(198.13499-198.1349)/198.1349*10^6</f>
        <v>0.45423597760992906</v>
      </c>
      <c r="AB117" s="29" t="s">
        <v>3</v>
      </c>
      <c r="AC117" s="27">
        <f>(198.1348-198.1349)/198.1348*10^6</f>
        <v>-0.50470689639022492</v>
      </c>
      <c r="AD117" s="27" t="s">
        <v>3</v>
      </c>
      <c r="AE117" s="21" t="s">
        <v>3</v>
      </c>
      <c r="AF117" s="21" t="s">
        <v>3</v>
      </c>
      <c r="AG117" s="21" t="s">
        <v>3</v>
      </c>
      <c r="AH117" s="21" t="s">
        <v>3</v>
      </c>
      <c r="AI117" s="22">
        <v>-1.1499999999999999</v>
      </c>
      <c r="AJ117" s="22" t="s">
        <v>3</v>
      </c>
      <c r="AK117" s="22" t="s">
        <v>3</v>
      </c>
      <c r="AL117" s="22" t="s">
        <v>3</v>
      </c>
      <c r="AM117" s="22" t="s">
        <v>3</v>
      </c>
      <c r="AN117" s="65" t="s">
        <v>3</v>
      </c>
      <c r="AO117" s="65" t="s">
        <v>3</v>
      </c>
      <c r="AP117" s="65" t="s">
        <v>3</v>
      </c>
      <c r="AQ117" s="65" t="s">
        <v>3</v>
      </c>
      <c r="AR117" s="65" t="s">
        <v>3</v>
      </c>
      <c r="AS117" s="46">
        <f>(198.1347-E117)/198.1347*10^6</f>
        <v>-1.1961559484456201</v>
      </c>
      <c r="AT117" s="46">
        <f>(198.1339-E117)/198.1339*10^6</f>
        <v>-5.2338342908337445</v>
      </c>
      <c r="AU117" s="46">
        <f>(198.1337-E117)/198.1337*10^6</f>
        <v>-6.2432589711051838</v>
      </c>
      <c r="AV117" s="46">
        <f>(198.1347-E117)/198.1347*10^6</f>
        <v>-1.1961559484456201</v>
      </c>
      <c r="AW117" s="53" t="s">
        <v>3</v>
      </c>
      <c r="AX117" s="53" t="s">
        <v>3</v>
      </c>
      <c r="AY117" s="57" t="s">
        <v>3</v>
      </c>
      <c r="AZ117" s="57" t="s">
        <v>3</v>
      </c>
      <c r="BA117" s="121" t="s">
        <v>3</v>
      </c>
    </row>
    <row r="118" spans="1:53" x14ac:dyDescent="0.25">
      <c r="A118" s="38">
        <v>115</v>
      </c>
      <c r="B118" s="139" t="s">
        <v>1</v>
      </c>
      <c r="C118" s="38" t="s">
        <v>139</v>
      </c>
      <c r="D118" s="38" t="s">
        <v>234</v>
      </c>
      <c r="E118" s="48">
        <v>196.120384</v>
      </c>
      <c r="F118" s="23" t="s">
        <v>564</v>
      </c>
      <c r="G118" s="23" t="s">
        <v>564</v>
      </c>
      <c r="H118" s="23" t="s">
        <v>564</v>
      </c>
      <c r="I118" s="25" t="s">
        <v>3</v>
      </c>
      <c r="J118" s="25" t="s">
        <v>3</v>
      </c>
      <c r="K118" s="117" t="s">
        <v>3</v>
      </c>
      <c r="L118" s="15" t="s">
        <v>3</v>
      </c>
      <c r="M118" s="15">
        <f>(196.1201-196.12038)/196.1201*10^6</f>
        <v>-1.4276966002139029</v>
      </c>
      <c r="N118" s="15">
        <f>(196.1198-196.12038)/196.1198*10^6</f>
        <v>-2.9573760528695709</v>
      </c>
      <c r="O118" s="15">
        <f>(196.12-196.12038)/196.12*10^6</f>
        <v>-1.9375892311183478</v>
      </c>
      <c r="P118" s="15">
        <f>(196.12019-196.12038)/196.12019*10^6</f>
        <v>-0.96879367699707597</v>
      </c>
      <c r="Q118" s="15">
        <f>(196.1201-196.12038)/196.1201*10^6</f>
        <v>-1.4276966002139029</v>
      </c>
      <c r="R118" s="15">
        <f>(196.1201-196.12038)/196.1201*10^6</f>
        <v>-1.4276966002139029</v>
      </c>
      <c r="S118" s="15">
        <f>(196.1203-196.12038)/196.1203*10^6</f>
        <v>-0.4079128984882906</v>
      </c>
      <c r="T118" s="15">
        <f>(196.1203-196.12038)/196.1203*10^6</f>
        <v>-0.4079128984882906</v>
      </c>
      <c r="U118" s="15">
        <f>(196.12019-196.12038)/196.12019*10^6</f>
        <v>-0.96879367699707597</v>
      </c>
      <c r="V118" s="15">
        <f>(196.12019-196.12038)/196.12019*10^6</f>
        <v>-0.96879367699707597</v>
      </c>
      <c r="W118" s="20" t="s">
        <v>564</v>
      </c>
      <c r="X118" s="20" t="s">
        <v>564</v>
      </c>
      <c r="Y118" s="20" t="s">
        <v>564</v>
      </c>
      <c r="Z118" s="26" t="s">
        <v>3</v>
      </c>
      <c r="AA118" s="29">
        <f>(196.1203-196.12038)/196.1203*10^6</f>
        <v>-0.4079128984882906</v>
      </c>
      <c r="AB118" s="29" t="s">
        <v>3</v>
      </c>
      <c r="AC118" s="27">
        <f>(196.12041-196.12038)/196.12038*10^6</f>
        <v>0.15296727439086494</v>
      </c>
      <c r="AD118" s="27" t="s">
        <v>3</v>
      </c>
      <c r="AE118" s="21" t="s">
        <v>3</v>
      </c>
      <c r="AF118" s="21" t="s">
        <v>3</v>
      </c>
      <c r="AG118" s="21" t="s">
        <v>3</v>
      </c>
      <c r="AH118" s="21" t="s">
        <v>3</v>
      </c>
      <c r="AI118" s="22" t="s">
        <v>3</v>
      </c>
      <c r="AJ118" s="22" t="s">
        <v>564</v>
      </c>
      <c r="AK118" s="22" t="s">
        <v>3</v>
      </c>
      <c r="AL118" s="22" t="s">
        <v>3</v>
      </c>
      <c r="AM118" s="22" t="s">
        <v>564</v>
      </c>
      <c r="AN118" s="65" t="s">
        <v>564</v>
      </c>
      <c r="AO118" s="65" t="s">
        <v>564</v>
      </c>
      <c r="AP118" s="65" t="s">
        <v>564</v>
      </c>
      <c r="AQ118" s="65" t="s">
        <v>564</v>
      </c>
      <c r="AR118" s="65" t="s">
        <v>564</v>
      </c>
      <c r="AS118" s="46" t="s">
        <v>3</v>
      </c>
      <c r="AT118" s="46" t="s">
        <v>3</v>
      </c>
      <c r="AU118" s="46" t="s">
        <v>3</v>
      </c>
      <c r="AV118" s="46" t="s">
        <v>3</v>
      </c>
      <c r="AW118" s="53" t="s">
        <v>3</v>
      </c>
      <c r="AX118" s="53" t="s">
        <v>3</v>
      </c>
      <c r="AY118" s="57" t="s">
        <v>3</v>
      </c>
      <c r="AZ118" s="57" t="s">
        <v>3</v>
      </c>
      <c r="BA118" s="121" t="s">
        <v>3</v>
      </c>
    </row>
    <row r="119" spans="1:53" x14ac:dyDescent="0.25">
      <c r="A119" s="38">
        <v>116</v>
      </c>
      <c r="B119" s="139" t="s">
        <v>49</v>
      </c>
      <c r="C119" s="38" t="s">
        <v>138</v>
      </c>
      <c r="D119" s="38" t="s">
        <v>235</v>
      </c>
      <c r="E119" s="48">
        <v>296.02395999999999</v>
      </c>
      <c r="F119" s="23">
        <v>-4.2226489986881122</v>
      </c>
      <c r="G119" s="23">
        <v>-4.2226489986881122</v>
      </c>
      <c r="H119" s="23" t="s">
        <v>3</v>
      </c>
      <c r="I119" s="25" t="s">
        <v>3</v>
      </c>
      <c r="J119" s="25" t="s">
        <v>3</v>
      </c>
      <c r="K119" s="117" t="s">
        <v>3</v>
      </c>
      <c r="L119" s="15" t="s">
        <v>3</v>
      </c>
      <c r="M119" s="15">
        <f>(296.02411-296.024)/296.0211*10^6</f>
        <v>0.37159513293644875</v>
      </c>
      <c r="N119" s="15">
        <f>(296.02411-296.024)/296.0211*10^6</f>
        <v>0.37159513293644875</v>
      </c>
      <c r="O119" s="15">
        <f>(296.02411-296.024)/296.0211*10^6</f>
        <v>0.37159513293644875</v>
      </c>
      <c r="P119" s="15">
        <f>(296.0242-296.024)/296.024*10^6</f>
        <v>0.67562089562548744</v>
      </c>
      <c r="Q119" s="15">
        <f>(296.0246-296.024)/296.024*10^6</f>
        <v>2.0268626868764628</v>
      </c>
      <c r="R119" s="15">
        <f>(296.02429-296.024)/296.024*10^6</f>
        <v>0.97965029864735576</v>
      </c>
      <c r="S119" s="15">
        <f>(296.02411-296.024)/296.0211*10^6</f>
        <v>0.37159513293644875</v>
      </c>
      <c r="T119" s="15">
        <f>(296.02411-296.024)/296.0211*10^6</f>
        <v>0.37159513293644875</v>
      </c>
      <c r="U119" s="15">
        <f>(296.0242-296.024)/296.024*10^6</f>
        <v>0.67562089562548744</v>
      </c>
      <c r="V119" s="15">
        <f>(296.02411-296.024)/296.0211*10^6</f>
        <v>0.37159513293644875</v>
      </c>
      <c r="W119" s="28">
        <f>(296.02411-296.024)/296.0211*10^6</f>
        <v>0.37159513293644875</v>
      </c>
      <c r="X119" s="28">
        <f>(296.02411-296.024)/296.0211*10^6</f>
        <v>0.37159513293644875</v>
      </c>
      <c r="Y119" s="28" t="s">
        <v>3</v>
      </c>
      <c r="Z119" s="26" t="s">
        <v>3</v>
      </c>
      <c r="AA119" s="29">
        <f>(296.02399-296.024)/296.02399*10^6</f>
        <v>-3.3781045836023045E-2</v>
      </c>
      <c r="AB119" s="29">
        <f>(296.0242-296.024)/296.024*10^6</f>
        <v>0.67562089562548744</v>
      </c>
      <c r="AC119" s="27">
        <f>(296.0239-296.024)/296.0239*10^6</f>
        <v>-0.33781056183266939</v>
      </c>
      <c r="AD119" s="27" t="s">
        <v>3</v>
      </c>
      <c r="AE119" s="21">
        <f>(296.02461-E119)/E119*10^6</f>
        <v>2.1957682074362053</v>
      </c>
      <c r="AF119" s="21">
        <f>(296.0248-E119)/E119*10^6</f>
        <v>2.8376081450949235</v>
      </c>
      <c r="AG119" s="21" t="s">
        <v>3</v>
      </c>
      <c r="AH119" s="21" t="s">
        <v>3</v>
      </c>
      <c r="AI119" s="22" t="s">
        <v>3</v>
      </c>
      <c r="AJ119" s="30">
        <v>0.61</v>
      </c>
      <c r="AK119" s="30">
        <v>4.0199999999999996</v>
      </c>
      <c r="AL119" s="22">
        <v>1.05</v>
      </c>
      <c r="AM119" s="30" t="s">
        <v>3</v>
      </c>
      <c r="AN119" s="65" t="s">
        <v>3</v>
      </c>
      <c r="AO119" s="65" t="s">
        <v>3</v>
      </c>
      <c r="AP119" s="65" t="s">
        <v>3</v>
      </c>
      <c r="AQ119" s="65" t="s">
        <v>3</v>
      </c>
      <c r="AR119" s="65" t="s">
        <v>3</v>
      </c>
      <c r="AS119" s="46" t="s">
        <v>3</v>
      </c>
      <c r="AT119" s="46" t="s">
        <v>3</v>
      </c>
      <c r="AU119" s="46" t="s">
        <v>3</v>
      </c>
      <c r="AV119" s="46" t="s">
        <v>3</v>
      </c>
      <c r="AW119" s="53" t="s">
        <v>3</v>
      </c>
      <c r="AX119" s="53" t="s">
        <v>3</v>
      </c>
      <c r="AY119" s="57" t="s">
        <v>3</v>
      </c>
      <c r="AZ119" s="57">
        <f>(296.025433-E119)/296.025433*10^6</f>
        <v>4.9759238086570017</v>
      </c>
      <c r="BA119" s="121">
        <f>(296.02426-E119)/296.02426*10^6</f>
        <v>1.013430453431015</v>
      </c>
    </row>
    <row r="120" spans="1:53" x14ac:dyDescent="0.25">
      <c r="A120" s="38">
        <v>117</v>
      </c>
      <c r="B120" s="139" t="s">
        <v>49</v>
      </c>
      <c r="C120" s="38" t="s">
        <v>139</v>
      </c>
      <c r="D120" s="38" t="s">
        <v>235</v>
      </c>
      <c r="E120" s="48">
        <v>294.00940800000001</v>
      </c>
      <c r="F120" s="23" t="s">
        <v>564</v>
      </c>
      <c r="G120" s="23" t="s">
        <v>564</v>
      </c>
      <c r="H120" s="23" t="s">
        <v>564</v>
      </c>
      <c r="I120" s="24">
        <v>-2.98</v>
      </c>
      <c r="J120" s="24">
        <v>-8.1000000000000004E-5</v>
      </c>
      <c r="K120" s="117">
        <v>0.30611256799957554</v>
      </c>
      <c r="L120" s="15" t="s">
        <v>3</v>
      </c>
      <c r="M120" s="15">
        <f>(294.0087-294.00941)/294.0087*10^6</f>
        <v>-2.4148945253198693</v>
      </c>
      <c r="N120" s="15">
        <f>(294.00861-294.00941)/294.00861*10^6</f>
        <v>-2.721008748779695</v>
      </c>
      <c r="O120" s="15">
        <f>(294.00861-294.00941)/294.00861*10^6</f>
        <v>-2.721008748779695</v>
      </c>
      <c r="P120" s="15">
        <f>(294.0087-294.00941)/294.0087*10^6</f>
        <v>-2.4148945253198693</v>
      </c>
      <c r="Q120" s="15">
        <f>(294.00851-294.00941)/294.00851*10^6</f>
        <v>-3.061135883452677</v>
      </c>
      <c r="R120" s="15">
        <f>(294.00861-294.00941)/294.00861*10^6</f>
        <v>-2.721008748779695</v>
      </c>
      <c r="S120" s="15">
        <f>(294.0083-294.00941)/294.0083*10^6</f>
        <v>-3.775403619499337</v>
      </c>
      <c r="T120" s="15">
        <f>(294.0087-294.00941)/294.0087*10^6</f>
        <v>-2.4148945253198693</v>
      </c>
      <c r="U120" s="15">
        <f>(294.00861-294.00941)/294.00861*10^6</f>
        <v>-2.721008748779695</v>
      </c>
      <c r="V120" s="15">
        <f>(294.00851-294.00941)/294.00851*10^6</f>
        <v>-3.061135883452677</v>
      </c>
      <c r="W120" s="20" t="s">
        <v>564</v>
      </c>
      <c r="X120" s="20" t="s">
        <v>564</v>
      </c>
      <c r="Y120" s="20" t="s">
        <v>564</v>
      </c>
      <c r="Z120" s="26" t="s">
        <v>3</v>
      </c>
      <c r="AA120" s="29">
        <f>(294.00961-294.00941)/294.00941*10^6</f>
        <v>0.68025033622780751</v>
      </c>
      <c r="AB120" s="29" t="s">
        <v>3</v>
      </c>
      <c r="AC120" s="27">
        <f>(294.0094-294.00941)/294.0094*10^6</f>
        <v>-3.4012517881239254E-2</v>
      </c>
      <c r="AD120" s="27" t="s">
        <v>3</v>
      </c>
      <c r="AE120" s="21">
        <f>(294.0107-E120)/E120*10^6</f>
        <v>4.3944172017042682</v>
      </c>
      <c r="AF120" s="21">
        <f>(294.00743-E120)/294.00743*10^6</f>
        <v>-6.7277211327899122</v>
      </c>
      <c r="AG120" s="21" t="s">
        <v>3</v>
      </c>
      <c r="AH120" s="21" t="s">
        <v>3</v>
      </c>
      <c r="AI120" s="22" t="s">
        <v>3</v>
      </c>
      <c r="AJ120" s="22" t="s">
        <v>564</v>
      </c>
      <c r="AK120" s="30">
        <v>1.84</v>
      </c>
      <c r="AL120" s="22">
        <v>-0.42</v>
      </c>
      <c r="AM120" s="22" t="s">
        <v>564</v>
      </c>
      <c r="AN120" s="65" t="s">
        <v>564</v>
      </c>
      <c r="AO120" s="65" t="s">
        <v>564</v>
      </c>
      <c r="AP120" s="65" t="s">
        <v>564</v>
      </c>
      <c r="AQ120" s="65" t="s">
        <v>564</v>
      </c>
      <c r="AR120" s="65" t="s">
        <v>564</v>
      </c>
      <c r="AS120" s="46" t="s">
        <v>3</v>
      </c>
      <c r="AT120" s="46">
        <f>(294.01071-E120)/E120*10^6</f>
        <v>4.4284297188533648</v>
      </c>
      <c r="AU120" s="46" t="s">
        <v>3</v>
      </c>
      <c r="AV120" s="46" t="s">
        <v>3</v>
      </c>
      <c r="AW120" s="53" t="s">
        <v>3</v>
      </c>
      <c r="AX120" s="53" t="s">
        <v>3</v>
      </c>
      <c r="AY120" s="57" t="s">
        <v>3</v>
      </c>
      <c r="AZ120" s="57" t="s">
        <v>3</v>
      </c>
      <c r="BA120" s="121">
        <f>(294.008438-E120)/294.008438*10^6</f>
        <v>-3.2992250378720502</v>
      </c>
    </row>
    <row r="121" spans="1:53" x14ac:dyDescent="0.25">
      <c r="A121" s="38">
        <v>118</v>
      </c>
      <c r="B121" s="139" t="s">
        <v>119</v>
      </c>
      <c r="C121" s="38" t="s">
        <v>138</v>
      </c>
      <c r="D121" s="38" t="s">
        <v>236</v>
      </c>
      <c r="E121" s="48">
        <v>207.14919</v>
      </c>
      <c r="F121" s="23" t="s">
        <v>3</v>
      </c>
      <c r="G121" s="23" t="s">
        <v>3</v>
      </c>
      <c r="H121" s="23" t="s">
        <v>3</v>
      </c>
      <c r="I121" s="25" t="s">
        <v>3</v>
      </c>
      <c r="J121" s="24">
        <v>-11.12</v>
      </c>
      <c r="K121" s="118">
        <v>-1.62</v>
      </c>
      <c r="L121" s="15" t="s">
        <v>3</v>
      </c>
      <c r="M121" s="15">
        <f>(207.1489-207.14919)/207.1489*10^6</f>
        <v>-1.3999591598448498</v>
      </c>
      <c r="N121" s="15">
        <f>(207.14931-207.14919)/207.14919*10^6</f>
        <v>0.57929263450012969</v>
      </c>
      <c r="O121" s="15">
        <f>(207.149-207.14919)/207.149*10^6</f>
        <v>-0.9172141791824493</v>
      </c>
      <c r="P121" s="15">
        <f>(207.1492-207.14919)/207.14919*10^6</f>
        <v>4.8274386219777816E-2</v>
      </c>
      <c r="Q121" s="15">
        <f>(207.1497-207.14919)/207.14919*10^6</f>
        <v>2.4619936963854445</v>
      </c>
      <c r="R121" s="15" t="s">
        <v>3</v>
      </c>
      <c r="S121" s="15">
        <f>(207.14931-207.14919)/207.14919*10^6</f>
        <v>0.57929263450012969</v>
      </c>
      <c r="T121" s="15">
        <f>(207.14931-207.14919)/207.14919*10^6</f>
        <v>0.57929263450012969</v>
      </c>
      <c r="U121" s="15">
        <f>(207.1494-207.14919)/207.14919*10^6</f>
        <v>1.013762110340926</v>
      </c>
      <c r="V121" s="15">
        <f>(207.14951-207.14919)/207.14919*10^6</f>
        <v>1.5447803584840738</v>
      </c>
      <c r="W121" s="28">
        <f>(207.14931-207.14919)/207.14919*10^6</f>
        <v>0.57929263450012969</v>
      </c>
      <c r="X121" s="28">
        <f>(207.1494-207.14919)/207.14919*10^6</f>
        <v>1.013762110340926</v>
      </c>
      <c r="Y121" s="28" t="s">
        <v>3</v>
      </c>
      <c r="Z121" s="26">
        <f>(207.1497-207.14919)/207.14919*10^6</f>
        <v>2.4619936963854445</v>
      </c>
      <c r="AA121" s="29">
        <f>(207.1494-207.14919)/207.14919*10^6</f>
        <v>1.013762110340926</v>
      </c>
      <c r="AB121" s="29" t="s">
        <v>3</v>
      </c>
      <c r="AC121" s="27">
        <f>(207.14999-207.14919)/207.14919*10^6</f>
        <v>3.861950896347389</v>
      </c>
      <c r="AD121" s="27" t="s">
        <v>3</v>
      </c>
      <c r="AE121" s="21" t="s">
        <v>3</v>
      </c>
      <c r="AF121" s="21" t="s">
        <v>3</v>
      </c>
      <c r="AG121" s="21" t="s">
        <v>3</v>
      </c>
      <c r="AH121" s="21" t="s">
        <v>3</v>
      </c>
      <c r="AI121" s="22" t="s">
        <v>3</v>
      </c>
      <c r="AJ121" s="22" t="s">
        <v>3</v>
      </c>
      <c r="AK121" s="22" t="s">
        <v>3</v>
      </c>
      <c r="AL121" s="22" t="s">
        <v>3</v>
      </c>
      <c r="AM121" s="22" t="s">
        <v>3</v>
      </c>
      <c r="AN121" s="65" t="s">
        <v>3</v>
      </c>
      <c r="AO121" s="65" t="s">
        <v>3</v>
      </c>
      <c r="AP121" s="65" t="s">
        <v>3</v>
      </c>
      <c r="AQ121" s="65" t="s">
        <v>3</v>
      </c>
      <c r="AR121" s="65" t="s">
        <v>3</v>
      </c>
      <c r="AS121" s="46">
        <f>(207.1472-E121)/207.1472*10^6</f>
        <v>-9.6066951424222751</v>
      </c>
      <c r="AT121" s="46">
        <f>(207.1478-E121)/207.1478*10^6</f>
        <v>-6.7101847087677458</v>
      </c>
      <c r="AU121" s="46">
        <f>(207.1485-E121)/207.1485*10^6</f>
        <v>-3.3309437432162996</v>
      </c>
      <c r="AV121" s="46">
        <f>(207.1469-E121)/207.1469*10^6</f>
        <v>-11.054956651614553</v>
      </c>
      <c r="AW121" s="53" t="s">
        <v>3</v>
      </c>
      <c r="AX121" s="53" t="s">
        <v>3</v>
      </c>
      <c r="AY121" s="57" t="s">
        <v>3</v>
      </c>
      <c r="AZ121" s="57" t="s">
        <v>3</v>
      </c>
      <c r="BA121" s="121" t="s">
        <v>3</v>
      </c>
    </row>
    <row r="122" spans="1:53" x14ac:dyDescent="0.25">
      <c r="A122" s="38">
        <v>119</v>
      </c>
      <c r="B122" s="139" t="s">
        <v>52</v>
      </c>
      <c r="C122" s="38" t="s">
        <v>138</v>
      </c>
      <c r="D122" s="38" t="s">
        <v>237</v>
      </c>
      <c r="E122" s="48">
        <v>254.05938900000001</v>
      </c>
      <c r="F122" s="23">
        <v>-1.1375305982321027</v>
      </c>
      <c r="G122" s="23">
        <v>-1.1375305982321027</v>
      </c>
      <c r="H122" s="23" t="s">
        <v>3</v>
      </c>
      <c r="I122" s="25" t="s">
        <v>3</v>
      </c>
      <c r="J122" s="25" t="s">
        <v>3</v>
      </c>
      <c r="K122" s="117" t="s">
        <v>3</v>
      </c>
      <c r="L122" s="15" t="s">
        <v>3</v>
      </c>
      <c r="M122" s="15">
        <f>(254.0596-254.05939)/254.05939*10^6</f>
        <v>0.82657838382352933</v>
      </c>
      <c r="N122" s="15">
        <f>(254.05969-254.05939)/254.0939*10^6</f>
        <v>1.1806658876168898</v>
      </c>
      <c r="O122" s="15">
        <f>(254.05949-254.05939)/254.05939*10^6</f>
        <v>0.3936087542496251</v>
      </c>
      <c r="P122" s="15">
        <f>(254.05969-254.05939)/254.0939*10^6</f>
        <v>1.1806658876168898</v>
      </c>
      <c r="Q122" s="15">
        <f>(254.06-254.05939)/254.05939*10^6</f>
        <v>2.4010134008220296</v>
      </c>
      <c r="R122" s="15">
        <f>(254.0598-254.05939)/254.05939*10^6</f>
        <v>1.6137958923227795</v>
      </c>
      <c r="S122" s="15">
        <f>(254.05949-254.05939)/254.05939*10^6</f>
        <v>0.3936087542496251</v>
      </c>
      <c r="T122" s="15">
        <f>(254.05969-254.05939)/254.0939*10^6</f>
        <v>1.1806658876168898</v>
      </c>
      <c r="U122" s="15">
        <f>(254.0596-254.05939)/254.05939*10^6</f>
        <v>0.82657838382352933</v>
      </c>
      <c r="V122" s="15">
        <f>(254.0596-254.05939)/254.05939*10^6</f>
        <v>0.82657838382352933</v>
      </c>
      <c r="W122" s="28">
        <f>(254.05949-254.05939)/254.05939*10^6</f>
        <v>0.3936087542496251</v>
      </c>
      <c r="X122" s="28">
        <f>(254.0596-254.05939)/254.05939*10^6</f>
        <v>0.82657838382352933</v>
      </c>
      <c r="Y122" s="28" t="s">
        <v>3</v>
      </c>
      <c r="Z122" s="26">
        <f>(254.06-254.05939)/254.05939*10^6</f>
        <v>2.4010134008220296</v>
      </c>
      <c r="AA122" s="29">
        <f>(254.0596-254.05939)/254.05939*10^6</f>
        <v>0.82657838382352933</v>
      </c>
      <c r="AB122" s="29">
        <f>(254.0592-254.05939)/254.0592*10^6</f>
        <v>-0.74785719235306247</v>
      </c>
      <c r="AC122" s="27">
        <f>(254.0593-254.05939)/254.0593*10^6</f>
        <v>-0.35424800430507963</v>
      </c>
      <c r="AD122" s="27" t="s">
        <v>3</v>
      </c>
      <c r="AE122" s="21">
        <f>(254.05941-E122)/254.05941*10^6</f>
        <v>8.2657831897757744E-2</v>
      </c>
      <c r="AF122" s="21">
        <f>(254.0592-E122)/254.0592*10^6</f>
        <v>-0.74392110187700322</v>
      </c>
      <c r="AG122" s="21" t="s">
        <v>3</v>
      </c>
      <c r="AH122" s="21" t="s">
        <v>3</v>
      </c>
      <c r="AI122" s="22">
        <v>4.0999999999999996</v>
      </c>
      <c r="AJ122" s="30">
        <v>1.97</v>
      </c>
      <c r="AK122" s="30">
        <v>1.97</v>
      </c>
      <c r="AL122" s="22">
        <v>-1.0900000000000001</v>
      </c>
      <c r="AM122" s="30" t="s">
        <v>3</v>
      </c>
      <c r="AN122" s="65" t="s">
        <v>3</v>
      </c>
      <c r="AO122" s="65" t="s">
        <v>3</v>
      </c>
      <c r="AP122" s="65" t="s">
        <v>3</v>
      </c>
      <c r="AQ122" s="65" t="s">
        <v>3</v>
      </c>
      <c r="AR122" s="65" t="s">
        <v>3</v>
      </c>
      <c r="AS122" s="46" t="s">
        <v>3</v>
      </c>
      <c r="AT122" s="46">
        <f>(254.0641-E122)/E122*10^6</f>
        <v>18.542908485016245</v>
      </c>
      <c r="AU122" s="46" t="s">
        <v>3</v>
      </c>
      <c r="AV122" s="46">
        <f>(254.0587-E122)/254.0587*10^6</f>
        <v>-2.711971682223786</v>
      </c>
      <c r="AW122" s="53">
        <f>(254.05877-E122)/254.05877*10^6</f>
        <v>-2.4364441345613428</v>
      </c>
      <c r="AX122" s="53" t="s">
        <v>3</v>
      </c>
      <c r="AY122" s="57">
        <f>(254.05964-E122)/254.05964*10^6</f>
        <v>0.98795700092924443</v>
      </c>
      <c r="AZ122" s="57">
        <f>(254.060497-E122)/254.060497*10^6</f>
        <v>4.3611659942076573</v>
      </c>
      <c r="BA122" s="121">
        <f>(254.05962-E122)/254.05962*10^6</f>
        <v>0.90923539909732709</v>
      </c>
    </row>
    <row r="123" spans="1:53" x14ac:dyDescent="0.25">
      <c r="A123" s="38">
        <v>120</v>
      </c>
      <c r="B123" s="139" t="s">
        <v>52</v>
      </c>
      <c r="C123" s="38" t="s">
        <v>139</v>
      </c>
      <c r="D123" s="38" t="s">
        <v>237</v>
      </c>
      <c r="E123" s="48">
        <v>252.044836</v>
      </c>
      <c r="F123" s="23" t="s">
        <v>564</v>
      </c>
      <c r="G123" s="23" t="s">
        <v>564</v>
      </c>
      <c r="H123" s="23" t="s">
        <v>564</v>
      </c>
      <c r="I123" s="25" t="s">
        <v>3</v>
      </c>
      <c r="J123" s="25" t="s">
        <v>3</v>
      </c>
      <c r="K123" s="117" t="s">
        <v>3</v>
      </c>
      <c r="L123" s="15" t="s">
        <v>3</v>
      </c>
      <c r="M123" s="15">
        <f>(252.0446-252.0448)/252.0446*10^6</f>
        <v>-0.79351035493971822</v>
      </c>
      <c r="N123" s="15">
        <f>(252.0442-252.0448)/252.0442*10^6</f>
        <v>-2.380534842777251</v>
      </c>
      <c r="O123" s="15">
        <f>(252.0446-252.0448)/252.0446*10^6</f>
        <v>-0.79351035493971822</v>
      </c>
      <c r="P123" s="15">
        <f>(252.0446-252.0448)/252.0446*10^6</f>
        <v>-0.79351035493971822</v>
      </c>
      <c r="Q123" s="15">
        <f>(252.0446-252.0448)/252.0446*10^6</f>
        <v>-0.79351035493971822</v>
      </c>
      <c r="R123" s="15">
        <f>(252.0443-252.0448)/252.0443*10^6</f>
        <v>-1.9837782485721689</v>
      </c>
      <c r="S123" s="15">
        <f>(252.04449-252.0448)/252.04449*10^6</f>
        <v>-1.2299415869521015</v>
      </c>
      <c r="T123" s="15">
        <f>(252.0446-252.0448)/252.0446*10^6</f>
        <v>-0.79351035493971822</v>
      </c>
      <c r="U123" s="15">
        <f>(252.0444-252.0448)/252.0444*10^6</f>
        <v>-1.5870219691978025</v>
      </c>
      <c r="V123" s="15">
        <f>(252.0444-252.0448)/252.0444*10^6</f>
        <v>-1.5870219691978025</v>
      </c>
      <c r="W123" s="20" t="s">
        <v>564</v>
      </c>
      <c r="X123" s="20" t="s">
        <v>564</v>
      </c>
      <c r="Y123" s="20" t="s">
        <v>564</v>
      </c>
      <c r="Z123" s="26" t="s">
        <v>3</v>
      </c>
      <c r="AA123" s="29" t="s">
        <v>3</v>
      </c>
      <c r="AB123" s="29" t="s">
        <v>3</v>
      </c>
      <c r="AC123" s="27" t="s">
        <v>3</v>
      </c>
      <c r="AD123" s="27" t="s">
        <v>3</v>
      </c>
      <c r="AE123" s="21" t="s">
        <v>3</v>
      </c>
      <c r="AF123" s="21" t="s">
        <v>3</v>
      </c>
      <c r="AG123" s="21" t="s">
        <v>3</v>
      </c>
      <c r="AH123" s="21" t="s">
        <v>3</v>
      </c>
      <c r="AI123" s="22">
        <v>-2.86</v>
      </c>
      <c r="AJ123" s="22" t="s">
        <v>564</v>
      </c>
      <c r="AK123" s="30">
        <v>-2.74</v>
      </c>
      <c r="AL123" s="22" t="s">
        <v>3</v>
      </c>
      <c r="AM123" s="22" t="s">
        <v>564</v>
      </c>
      <c r="AN123" s="65" t="s">
        <v>564</v>
      </c>
      <c r="AO123" s="65" t="s">
        <v>564</v>
      </c>
      <c r="AP123" s="65" t="s">
        <v>564</v>
      </c>
      <c r="AQ123" s="65" t="s">
        <v>564</v>
      </c>
      <c r="AR123" s="65" t="s">
        <v>564</v>
      </c>
      <c r="AS123" s="46" t="s">
        <v>3</v>
      </c>
      <c r="AT123" s="46" t="s">
        <v>3</v>
      </c>
      <c r="AU123" s="46" t="s">
        <v>3</v>
      </c>
      <c r="AV123" s="46" t="s">
        <v>3</v>
      </c>
      <c r="AW123" s="53" t="s">
        <v>3</v>
      </c>
      <c r="AX123" s="53" t="s">
        <v>3</v>
      </c>
      <c r="AY123" s="57">
        <f>(252.045077-E123)/252.045077*10^6</f>
        <v>0.95617816803614608</v>
      </c>
      <c r="AZ123" s="57" t="s">
        <v>3</v>
      </c>
      <c r="BA123" s="121" t="s">
        <v>3</v>
      </c>
    </row>
    <row r="124" spans="1:53" x14ac:dyDescent="0.25">
      <c r="A124" s="38">
        <v>121</v>
      </c>
      <c r="B124" s="139" t="s">
        <v>120</v>
      </c>
      <c r="C124" s="38" t="s">
        <v>138</v>
      </c>
      <c r="D124" s="38" t="s">
        <v>238</v>
      </c>
      <c r="E124" s="48">
        <v>230.11670000000001</v>
      </c>
      <c r="F124" s="23" t="s">
        <v>3</v>
      </c>
      <c r="G124" s="23" t="s">
        <v>3</v>
      </c>
      <c r="H124" s="23" t="s">
        <v>3</v>
      </c>
      <c r="I124" s="25" t="s">
        <v>3</v>
      </c>
      <c r="J124" s="25" t="s">
        <v>3</v>
      </c>
      <c r="K124" s="117" t="s">
        <v>3</v>
      </c>
      <c r="L124" s="15" t="s">
        <v>3</v>
      </c>
      <c r="M124" s="15" t="s">
        <v>3</v>
      </c>
      <c r="N124" s="15" t="s">
        <v>3</v>
      </c>
      <c r="O124" s="15" t="s">
        <v>3</v>
      </c>
      <c r="P124" s="15" t="s">
        <v>3</v>
      </c>
      <c r="Q124" s="15" t="s">
        <v>3</v>
      </c>
      <c r="R124" s="15" t="s">
        <v>3</v>
      </c>
      <c r="S124" s="15" t="s">
        <v>3</v>
      </c>
      <c r="T124" s="15" t="s">
        <v>3</v>
      </c>
      <c r="U124" s="15" t="s">
        <v>3</v>
      </c>
      <c r="V124" s="15" t="s">
        <v>3</v>
      </c>
      <c r="W124" s="28">
        <f>(230.11681-230.1167)/230.1167*10^6</f>
        <v>0.47801832712737524</v>
      </c>
      <c r="X124" s="28">
        <f>(230.11681-230.1167)/230.1167*10^6</f>
        <v>0.47801832712737524</v>
      </c>
      <c r="Y124" s="28" t="s">
        <v>3</v>
      </c>
      <c r="Z124" s="26">
        <f>(230.11729-230.1167)/230.1167*10^6</f>
        <v>2.5639164823253684</v>
      </c>
      <c r="AA124" s="29">
        <f>(230.11681-230.1167)/230.1167*10^6</f>
        <v>0.47801832712737524</v>
      </c>
      <c r="AB124" s="29">
        <f>(230.1171-230.1167)/230.1167*10^6</f>
        <v>1.7382484625620693</v>
      </c>
      <c r="AC124" s="27" t="s">
        <v>3</v>
      </c>
      <c r="AD124" s="27" t="s">
        <v>3</v>
      </c>
      <c r="AE124" s="21" t="s">
        <v>3</v>
      </c>
      <c r="AF124" s="21" t="s">
        <v>3</v>
      </c>
      <c r="AG124" s="21" t="s">
        <v>3</v>
      </c>
      <c r="AH124" s="21" t="s">
        <v>3</v>
      </c>
      <c r="AI124" s="22">
        <v>3.39</v>
      </c>
      <c r="AJ124" s="30">
        <v>2.42</v>
      </c>
      <c r="AK124" s="30">
        <v>2.68</v>
      </c>
      <c r="AL124" s="22" t="s">
        <v>3</v>
      </c>
      <c r="AM124" s="22" t="s">
        <v>3</v>
      </c>
      <c r="AN124" s="65" t="s">
        <v>3</v>
      </c>
      <c r="AO124" s="65" t="s">
        <v>3</v>
      </c>
      <c r="AP124" s="65" t="s">
        <v>3</v>
      </c>
      <c r="AQ124" s="65" t="s">
        <v>3</v>
      </c>
      <c r="AR124" s="65" t="s">
        <v>3</v>
      </c>
      <c r="AS124" s="46" t="s">
        <v>3</v>
      </c>
      <c r="AT124" s="46">
        <f>(230.1179-E124)/E124*10^6</f>
        <v>5.2147453878097174</v>
      </c>
      <c r="AU124" s="46" t="s">
        <v>3</v>
      </c>
      <c r="AV124" s="46">
        <f>(230.1151-E124)/230.1151*10^6</f>
        <v>-6.9530421949549197</v>
      </c>
      <c r="AW124" s="53" t="s">
        <v>3</v>
      </c>
      <c r="AX124" s="53" t="s">
        <v>3</v>
      </c>
      <c r="AY124" s="57" t="s">
        <v>3</v>
      </c>
      <c r="AZ124" s="57" t="s">
        <v>3</v>
      </c>
      <c r="BA124" s="121" t="s">
        <v>3</v>
      </c>
    </row>
    <row r="125" spans="1:53" x14ac:dyDescent="0.25">
      <c r="A125" s="38">
        <v>122</v>
      </c>
      <c r="B125" s="139" t="s">
        <v>99</v>
      </c>
      <c r="C125" s="38" t="s">
        <v>138</v>
      </c>
      <c r="D125" s="38" t="s">
        <v>239</v>
      </c>
      <c r="E125" s="48">
        <v>202.08539999999999</v>
      </c>
      <c r="F125" s="23" t="s">
        <v>3</v>
      </c>
      <c r="G125" s="23" t="s">
        <v>3</v>
      </c>
      <c r="H125" s="23" t="s">
        <v>3</v>
      </c>
      <c r="I125" s="25" t="s">
        <v>3</v>
      </c>
      <c r="J125" s="25" t="s">
        <v>3</v>
      </c>
      <c r="K125" s="117" t="s">
        <v>3</v>
      </c>
      <c r="L125" s="15" t="s">
        <v>3</v>
      </c>
      <c r="M125" s="15" t="s">
        <v>3</v>
      </c>
      <c r="N125" s="15" t="s">
        <v>3</v>
      </c>
      <c r="O125" s="15" t="s">
        <v>3</v>
      </c>
      <c r="P125" s="15" t="s">
        <v>3</v>
      </c>
      <c r="Q125" s="15" t="s">
        <v>3</v>
      </c>
      <c r="R125" s="15" t="s">
        <v>3</v>
      </c>
      <c r="S125" s="15" t="s">
        <v>3</v>
      </c>
      <c r="T125" s="15" t="s">
        <v>3</v>
      </c>
      <c r="U125" s="15" t="s">
        <v>3</v>
      </c>
      <c r="V125" s="15" t="s">
        <v>3</v>
      </c>
      <c r="W125" s="28">
        <f>(202.08549-202.0854)/202.0854*10^6</f>
        <v>0.44535627017164781</v>
      </c>
      <c r="X125" s="28">
        <f>(202.0853-202.0854)/202.0853*10^6</f>
        <v>-0.49484054507339054</v>
      </c>
      <c r="Y125" s="28" t="s">
        <v>3</v>
      </c>
      <c r="Z125" s="26">
        <f>(202.08591-202.0854)/202.0854*10^6</f>
        <v>2.5236855310664326</v>
      </c>
      <c r="AA125" s="29">
        <f>(202.0854-202.0854)/202.0854*10^6</f>
        <v>0</v>
      </c>
      <c r="AB125" s="29" t="s">
        <v>3</v>
      </c>
      <c r="AC125" s="27" t="s">
        <v>3</v>
      </c>
      <c r="AD125" s="27" t="s">
        <v>3</v>
      </c>
      <c r="AE125" s="21" t="s">
        <v>3</v>
      </c>
      <c r="AF125" s="21" t="s">
        <v>3</v>
      </c>
      <c r="AG125" s="21" t="s">
        <v>3</v>
      </c>
      <c r="AH125" s="21" t="s">
        <v>3</v>
      </c>
      <c r="AI125" s="22">
        <v>4.1900000000000004</v>
      </c>
      <c r="AJ125" s="30">
        <v>2.77</v>
      </c>
      <c r="AK125" s="30">
        <v>3.43</v>
      </c>
      <c r="AL125" s="22" t="s">
        <v>3</v>
      </c>
      <c r="AM125" s="22" t="s">
        <v>3</v>
      </c>
      <c r="AN125" s="65" t="s">
        <v>3</v>
      </c>
      <c r="AO125" s="65" t="s">
        <v>3</v>
      </c>
      <c r="AP125" s="65" t="s">
        <v>3</v>
      </c>
      <c r="AQ125" s="65" t="s">
        <v>3</v>
      </c>
      <c r="AR125" s="65" t="s">
        <v>3</v>
      </c>
      <c r="AS125" s="46" t="s">
        <v>3</v>
      </c>
      <c r="AT125" s="46" t="s">
        <v>3</v>
      </c>
      <c r="AU125" s="46" t="s">
        <v>3</v>
      </c>
      <c r="AV125" s="46" t="s">
        <v>3</v>
      </c>
      <c r="AW125" s="53" t="s">
        <v>3</v>
      </c>
      <c r="AX125" s="53" t="s">
        <v>3</v>
      </c>
      <c r="AY125" s="57" t="s">
        <v>3</v>
      </c>
      <c r="AZ125" s="57" t="s">
        <v>3</v>
      </c>
      <c r="BA125" s="121" t="s">
        <v>3</v>
      </c>
    </row>
    <row r="126" spans="1:53" x14ac:dyDescent="0.25">
      <c r="A126" s="38">
        <v>123</v>
      </c>
      <c r="B126" s="139" t="s">
        <v>123</v>
      </c>
      <c r="C126" s="38" t="s">
        <v>138</v>
      </c>
      <c r="D126" s="38" t="s">
        <v>242</v>
      </c>
      <c r="E126" s="48">
        <v>278.211456</v>
      </c>
      <c r="F126" s="23">
        <v>-1.86</v>
      </c>
      <c r="G126" s="23">
        <v>-0.94</v>
      </c>
      <c r="H126" s="23" t="s">
        <v>3</v>
      </c>
      <c r="I126" s="25" t="s">
        <v>3</v>
      </c>
      <c r="J126" s="25" t="s">
        <v>3</v>
      </c>
      <c r="K126" s="118">
        <v>-2.9114625322316323</v>
      </c>
      <c r="L126" s="15" t="s">
        <v>3</v>
      </c>
      <c r="M126" s="15">
        <f>(278.21161-278.21146)/278.21146*10^6</f>
        <v>0.5391582360381213</v>
      </c>
      <c r="N126" s="15">
        <f>(278.21149-278.21146)/278.21146*10^6</f>
        <v>0.10783164733021465</v>
      </c>
      <c r="O126" s="15">
        <f>(278.21161-278.21146)/278.21146*10^6</f>
        <v>0.5391582360381213</v>
      </c>
      <c r="P126" s="15">
        <f>(278.2117-278.21146)/278.21146*10^6</f>
        <v>0.86265317762013061</v>
      </c>
      <c r="Q126" s="15">
        <f>(278.21201-278.21146)/278.21146*10^6</f>
        <v>1.9769135320035665</v>
      </c>
      <c r="R126" s="15">
        <f>(278.21179-278.21146)/278.21146*10^6</f>
        <v>1.1861481192021399</v>
      </c>
      <c r="S126" s="15">
        <f>(278.21161-278.21146)/278.21146*10^6</f>
        <v>0.5391582360381213</v>
      </c>
      <c r="T126" s="15">
        <f>(278.21179-278.21146)/278.21146*10^6</f>
        <v>1.1861481192021399</v>
      </c>
      <c r="U126" s="15">
        <f>(278.2117-278.21146)/278.21146*10^6</f>
        <v>0.86265317762013061</v>
      </c>
      <c r="V126" s="15">
        <f>(278.2117-278.21146)/278.21146*10^6</f>
        <v>0.86265317762013061</v>
      </c>
      <c r="W126" s="28">
        <f>(278.21149-278.21146)/278.21146*10^6</f>
        <v>0.10783164733021465</v>
      </c>
      <c r="X126" s="28">
        <f>(278.21161-278.21146)/278.21146*10^6</f>
        <v>0.5391582360381213</v>
      </c>
      <c r="Y126" s="28" t="s">
        <v>3</v>
      </c>
      <c r="Z126" s="26">
        <f>(278.21219-278.21146)/278.21146*10^6</f>
        <v>2.6239034151675851</v>
      </c>
      <c r="AA126" s="29">
        <f>(278.21161-278.21146)/278.21146*10^6</f>
        <v>0.5391582360381213</v>
      </c>
      <c r="AB126" s="29">
        <f>(278.21149-278.21146)/278.21146*10^6</f>
        <v>0.10783164733021465</v>
      </c>
      <c r="AC126" s="27">
        <f>(278.2113-278.21146)/278.2113*10^6</f>
        <v>-0.57510244908795138</v>
      </c>
      <c r="AD126" s="27" t="s">
        <v>3</v>
      </c>
      <c r="AE126" s="21">
        <f>(278.21169-E126)/E126*10^6</f>
        <v>0.84108686012426814</v>
      </c>
      <c r="AF126" s="21">
        <f>(278.21237-E126)/E126*10^6</f>
        <v>3.2852708984886374</v>
      </c>
      <c r="AG126" s="21">
        <f>(278.2118-E126)/E126*10^6</f>
        <v>1.2364695722096173</v>
      </c>
      <c r="AH126" s="21">
        <f>(278.21112-E126)/278.21112*10^6</f>
        <v>-1.2077159245264275</v>
      </c>
      <c r="AI126" s="22">
        <v>2.31</v>
      </c>
      <c r="AJ126" s="30">
        <v>0.7</v>
      </c>
      <c r="AK126" s="30">
        <v>3.38</v>
      </c>
      <c r="AL126" s="22">
        <v>0.88</v>
      </c>
      <c r="AM126" s="30" t="s">
        <v>3</v>
      </c>
      <c r="AN126" s="65" t="s">
        <v>3</v>
      </c>
      <c r="AO126" s="65" t="s">
        <v>3</v>
      </c>
      <c r="AP126" s="65" t="s">
        <v>3</v>
      </c>
      <c r="AQ126" s="65" t="s">
        <v>3</v>
      </c>
      <c r="AR126" s="65" t="s">
        <v>3</v>
      </c>
      <c r="AS126" s="46" t="s">
        <v>3</v>
      </c>
      <c r="AT126" s="46">
        <f>(278.21109-E126)/278.21109*10^6</f>
        <v>-1.3155478452905438</v>
      </c>
      <c r="AU126" s="46" t="s">
        <v>3</v>
      </c>
      <c r="AV126" s="46">
        <f>(278.21021-E126)/278.21021*10^6</f>
        <v>-4.4786278691229215</v>
      </c>
      <c r="AW126" s="53">
        <f>(278.210992-E126)/278.210992*10^6</f>
        <v>-1.6677989488719571</v>
      </c>
      <c r="AX126" s="53">
        <f>(278.2112-E126)/278.2112*10^6</f>
        <v>-0.92016424924280449</v>
      </c>
      <c r="AY126" s="57">
        <f>(278.211447-E126)/278.211447*10^6</f>
        <v>-3.2349495588070411E-2</v>
      </c>
      <c r="AZ126" s="57" t="s">
        <v>3</v>
      </c>
      <c r="BA126" s="121">
        <f>(278.21214-E126)/278.21214*10^6</f>
        <v>2.4585555467794058</v>
      </c>
    </row>
    <row r="127" spans="1:53" x14ac:dyDescent="0.25">
      <c r="A127" s="38">
        <v>124</v>
      </c>
      <c r="B127" s="139" t="s">
        <v>293</v>
      </c>
      <c r="C127" s="38" t="s">
        <v>138</v>
      </c>
      <c r="D127" s="38" t="s">
        <v>240</v>
      </c>
      <c r="E127" s="48">
        <v>264.19580500000001</v>
      </c>
      <c r="F127" s="23">
        <v>-2.6684753756108734</v>
      </c>
      <c r="G127" s="23">
        <v>6.72</v>
      </c>
      <c r="H127" s="23" t="s">
        <v>3</v>
      </c>
      <c r="I127" s="25" t="s">
        <v>3</v>
      </c>
      <c r="J127" s="25" t="s">
        <v>3</v>
      </c>
      <c r="K127" s="118">
        <v>-3.41</v>
      </c>
      <c r="L127" s="15" t="s">
        <v>3</v>
      </c>
      <c r="M127" s="15">
        <f>(264.19601-264.1958)/261.1658*10^6</f>
        <v>0.80408690564151875</v>
      </c>
      <c r="N127" s="15">
        <f>(264.19589-264.1958)/264.1958*10^6</f>
        <v>0.34065643738524803</v>
      </c>
      <c r="O127" s="15">
        <f>(264.19589-264.1958)/264.1958*10^6</f>
        <v>0.34065643738524803</v>
      </c>
      <c r="P127" s="15">
        <f>(264.19601-264.1958)/261.1658*10^6</f>
        <v>0.80408690564151875</v>
      </c>
      <c r="Q127" s="15">
        <v>0</v>
      </c>
      <c r="R127" s="15">
        <f>(264.19601-264.1958)/261.1658*10^6</f>
        <v>0.80408690564151875</v>
      </c>
      <c r="S127" s="15">
        <f>(264.19559-264.1958)/264.19559*10^6</f>
        <v>-0.7948656525199197</v>
      </c>
      <c r="T127" s="15">
        <v>0</v>
      </c>
      <c r="U127" s="15">
        <v>0</v>
      </c>
      <c r="V127" s="15">
        <f>(264.19601-264.1958)/261.1658*10^6</f>
        <v>0.80408690564151875</v>
      </c>
      <c r="W127" s="28">
        <f>(264.19589-264.1958)/264.1958*10^6</f>
        <v>0.34065643738524803</v>
      </c>
      <c r="X127" s="28">
        <f>(264.19601-264.1958)/261.1658*10^6</f>
        <v>0.80408690564151875</v>
      </c>
      <c r="Y127" s="28" t="s">
        <v>3</v>
      </c>
      <c r="Z127" s="26" t="s">
        <v>3</v>
      </c>
      <c r="AA127" s="29">
        <f>(264.19601-264.1958)/261.1658*10^6</f>
        <v>0.80408690564151875</v>
      </c>
      <c r="AB127" s="29" t="s">
        <v>3</v>
      </c>
      <c r="AC127" s="27" t="s">
        <v>3</v>
      </c>
      <c r="AD127" s="27" t="s">
        <v>3</v>
      </c>
      <c r="AE127" s="21">
        <f>(264.19635-E127)/E127*10^6</f>
        <v>2.0628639428557514</v>
      </c>
      <c r="AF127" s="21" t="s">
        <v>3</v>
      </c>
      <c r="AG127" s="21" t="s">
        <v>3</v>
      </c>
      <c r="AH127" s="21" t="s">
        <v>3</v>
      </c>
      <c r="AI127" s="22">
        <v>1.79</v>
      </c>
      <c r="AJ127" s="30">
        <v>-2.4500000000000002</v>
      </c>
      <c r="AK127" s="30">
        <v>2.79</v>
      </c>
      <c r="AL127" s="22">
        <v>-2.29</v>
      </c>
      <c r="AM127" s="30" t="s">
        <v>3</v>
      </c>
      <c r="AN127" s="65" t="s">
        <v>3</v>
      </c>
      <c r="AO127" s="65" t="s">
        <v>3</v>
      </c>
      <c r="AP127" s="65" t="s">
        <v>3</v>
      </c>
      <c r="AQ127" s="65" t="s">
        <v>3</v>
      </c>
      <c r="AR127" s="65" t="s">
        <v>3</v>
      </c>
      <c r="AS127" s="46">
        <f>(264.19891-E127)/E127*10^6</f>
        <v>11.752646867368012</v>
      </c>
      <c r="AT127" s="46">
        <f>(264.19629-E127)/E127*10^6</f>
        <v>1.8357596554918973</v>
      </c>
      <c r="AU127" s="46" t="s">
        <v>3</v>
      </c>
      <c r="AV127" s="46">
        <f>(264.1933-E127)/264.1933*10^6</f>
        <v>-9.4816938960416568</v>
      </c>
      <c r="AW127" s="53">
        <f>(264.195627-E127)/264.195627*10^6</f>
        <v>-0.67374317291535091</v>
      </c>
      <c r="AX127" s="53">
        <f>(264.19606-E127)/264.19606*10^6</f>
        <v>0.96519228932280254</v>
      </c>
      <c r="AY127" s="57">
        <f>(264.19588-E127)/264.19588*10^6</f>
        <v>0.28388027845541525</v>
      </c>
      <c r="AZ127" s="57">
        <f>(264.197186-E127)/264.197186*10^6</f>
        <v>5.2271563557863132</v>
      </c>
      <c r="BA127" s="121">
        <f>(264.19622-E127)/264.19622*10^6</f>
        <v>1.5708021862515948</v>
      </c>
    </row>
    <row r="128" spans="1:53" x14ac:dyDescent="0.25">
      <c r="A128" s="38">
        <v>125</v>
      </c>
      <c r="B128" s="139" t="s">
        <v>122</v>
      </c>
      <c r="C128" s="38" t="s">
        <v>138</v>
      </c>
      <c r="D128" s="38" t="s">
        <v>240</v>
      </c>
      <c r="E128" s="48">
        <v>264.19580500000001</v>
      </c>
      <c r="F128" s="23">
        <v>-2.67</v>
      </c>
      <c r="G128" s="23">
        <v>-5.56</v>
      </c>
      <c r="H128" s="23" t="s">
        <v>3</v>
      </c>
      <c r="I128" s="25" t="s">
        <v>3</v>
      </c>
      <c r="J128" s="25" t="s">
        <v>3</v>
      </c>
      <c r="K128" s="118">
        <v>-1.8</v>
      </c>
      <c r="L128" s="15" t="s">
        <v>3</v>
      </c>
      <c r="M128" s="15">
        <f>(264.19601-264.1958)/261.1658*10^6</f>
        <v>0.80408690564151875</v>
      </c>
      <c r="N128" s="15">
        <f>(264.19589-264.1958)/264.1958*10^6</f>
        <v>0.34065643738524803</v>
      </c>
      <c r="O128" s="15">
        <f>(264.19589-264.1958)/264.1958*10^6</f>
        <v>0.34065643738524803</v>
      </c>
      <c r="P128" s="15">
        <f>(264.19601-264.1958)/261.1658*10^6</f>
        <v>0.80408690564151875</v>
      </c>
      <c r="Q128" s="15">
        <f>(264.19641-264.1958)/264.1958*10^6</f>
        <v>2.3088936311427748</v>
      </c>
      <c r="R128" s="15">
        <f>(264.19629-264.1958)/264.1958*10^6</f>
        <v>1.8546850478190067</v>
      </c>
      <c r="S128" s="15">
        <v>0</v>
      </c>
      <c r="T128" s="15">
        <f>(264.19601-264.1958)/261.1658*10^6</f>
        <v>0.80408690564151875</v>
      </c>
      <c r="U128" s="15">
        <f>(264.19601-264.1958)/261.1658*10^6</f>
        <v>0.80408690564151875</v>
      </c>
      <c r="V128" s="15">
        <f>(264.19601-264.1958)/261.1658*10^6</f>
        <v>0.80408690564151875</v>
      </c>
      <c r="W128" s="28">
        <f>(264.19601-264.1958)/261.1658*10^6</f>
        <v>0.80408690564151875</v>
      </c>
      <c r="X128" s="28">
        <f>(264.19601-264.1958)/261.1658*10^6</f>
        <v>0.80408690564151875</v>
      </c>
      <c r="Y128" s="28" t="s">
        <v>3</v>
      </c>
      <c r="Z128" s="26">
        <f>(264.19659-264.1958)/264.1958*10^6</f>
        <v>2.990206505913271</v>
      </c>
      <c r="AA128" s="29">
        <f>(264.19601-264.1958)/261.1658*10^6</f>
        <v>0.80408690564151875</v>
      </c>
      <c r="AB128" s="29">
        <v>0</v>
      </c>
      <c r="AC128" s="27">
        <f>(264.19571-264.1958)/264.19571*10^6</f>
        <v>-0.34065655343209589</v>
      </c>
      <c r="AD128" s="27" t="s">
        <v>3</v>
      </c>
      <c r="AE128" s="21">
        <f>(264.19612-E128)/E128*10^6</f>
        <v>1.1922975082837115</v>
      </c>
      <c r="AF128" s="21">
        <f>(264.19661-E128)/E128*10^6</f>
        <v>3.0469825212172972</v>
      </c>
      <c r="AG128" s="21">
        <f>(264.1959-E128)/E128*10^6</f>
        <v>0.35958178816473535</v>
      </c>
      <c r="AH128" s="21">
        <f>(264.19472-E128)/264.19472*10^6</f>
        <v>-4.1068193943812448</v>
      </c>
      <c r="AI128" s="22">
        <v>4.54</v>
      </c>
      <c r="AJ128" s="30">
        <v>1.4</v>
      </c>
      <c r="AK128" s="30">
        <v>1.8</v>
      </c>
      <c r="AL128" s="22">
        <v>0.84</v>
      </c>
      <c r="AM128" s="30" t="s">
        <v>3</v>
      </c>
      <c r="AN128" s="65" t="s">
        <v>3</v>
      </c>
      <c r="AO128" s="65" t="s">
        <v>3</v>
      </c>
      <c r="AP128" s="65" t="s">
        <v>3</v>
      </c>
      <c r="AQ128" s="65" t="s">
        <v>3</v>
      </c>
      <c r="AR128" s="65" t="s">
        <v>3</v>
      </c>
      <c r="AS128" s="46">
        <f>(264.19879-E128)/E128*10^6</f>
        <v>11.298438292640304</v>
      </c>
      <c r="AT128" s="46">
        <f>(264.19641-E128)/E128*10^6</f>
        <v>2.289968230219606</v>
      </c>
      <c r="AU128" s="46">
        <f>(264.19489-E128)/264.19489*10^6</f>
        <v>-3.4633523760449241</v>
      </c>
      <c r="AV128" s="46">
        <f>(264.1955-E128)/264.1955*10^6</f>
        <v>-1.1544481265795856</v>
      </c>
      <c r="AW128" s="53" t="s">
        <v>3</v>
      </c>
      <c r="AX128" s="53" t="s">
        <v>3</v>
      </c>
      <c r="AY128" s="57" t="s">
        <v>3</v>
      </c>
      <c r="AZ128" s="57" t="s">
        <v>3</v>
      </c>
      <c r="BA128" s="121" t="s">
        <v>3</v>
      </c>
    </row>
    <row r="129" spans="1:53" x14ac:dyDescent="0.25">
      <c r="A129" s="38">
        <v>126</v>
      </c>
      <c r="B129" s="139" t="s">
        <v>294</v>
      </c>
      <c r="C129" s="38" t="s">
        <v>138</v>
      </c>
      <c r="D129" s="38" t="s">
        <v>240</v>
      </c>
      <c r="E129" s="48">
        <v>264.19580500000001</v>
      </c>
      <c r="F129" s="23">
        <v>-2.6684753756108734</v>
      </c>
      <c r="G129" s="23">
        <v>6.72</v>
      </c>
      <c r="H129" s="23" t="s">
        <v>3</v>
      </c>
      <c r="I129" s="25" t="s">
        <v>3</v>
      </c>
      <c r="J129" s="25" t="s">
        <v>3</v>
      </c>
      <c r="K129" s="118">
        <v>-3.41</v>
      </c>
      <c r="L129" s="15" t="s">
        <v>3</v>
      </c>
      <c r="M129" s="15">
        <f>(264.1962-264.1958)/264.1958*10^6</f>
        <v>1.5140286104337584</v>
      </c>
      <c r="N129" s="15">
        <f>(264.19601-264.1958)/261.1658*10^6</f>
        <v>0.80408690564151875</v>
      </c>
      <c r="O129" s="15">
        <f>(264.19601-264.1958)/261.1658*10^6</f>
        <v>0.80408690564151875</v>
      </c>
      <c r="P129" s="15">
        <f>(264.19629-264.1958)/264.1958*10^6</f>
        <v>1.8546850478190067</v>
      </c>
      <c r="Q129" s="15">
        <f>(264.19641-264.1958)/264.1958*10^6</f>
        <v>2.3088936311427748</v>
      </c>
      <c r="R129" s="15">
        <f>(264.19629-264.1958)/264.1958*10^6</f>
        <v>1.8546850478190067</v>
      </c>
      <c r="S129" s="15">
        <f>(264.19601-264.1958)/261.1658*10^6</f>
        <v>0.80408690564151875</v>
      </c>
      <c r="T129" s="15">
        <f>(264.1962-264.1958)/264.1958*10^6</f>
        <v>1.5140286104337584</v>
      </c>
      <c r="U129" s="15">
        <f>(264.1962-264.1958)/264.1958*10^6</f>
        <v>1.5140286104337584</v>
      </c>
      <c r="V129" s="15">
        <f>(264.1962-264.1958)/264.1958*10^6</f>
        <v>1.5140286104337584</v>
      </c>
      <c r="W129" s="28">
        <f>(264.19601-264.1958)/261.1658*10^6</f>
        <v>0.80408690564151875</v>
      </c>
      <c r="X129" s="28">
        <f>(264.19601-264.1958)/261.1658*10^6</f>
        <v>0.80408690564151875</v>
      </c>
      <c r="Y129" s="28" t="s">
        <v>3</v>
      </c>
      <c r="Z129" s="26" t="s">
        <v>3</v>
      </c>
      <c r="AA129" s="29">
        <f>(264.19601-264.1958)/261.1658*10^6</f>
        <v>0.80408690564151875</v>
      </c>
      <c r="AB129" s="29" t="s">
        <v>3</v>
      </c>
      <c r="AC129" s="27" t="s">
        <v>3</v>
      </c>
      <c r="AD129" s="27" t="s">
        <v>3</v>
      </c>
      <c r="AE129" s="21">
        <f>(264.19602-E129)/E129*10^6</f>
        <v>0.81379036267728755</v>
      </c>
      <c r="AF129" s="21">
        <f>(264.1963-E129)/E129*10^6</f>
        <v>1.8736103701601179</v>
      </c>
      <c r="AG129" s="21" t="s">
        <v>3</v>
      </c>
      <c r="AH129" s="21" t="s">
        <v>3</v>
      </c>
      <c r="AI129" s="22">
        <v>1.79</v>
      </c>
      <c r="AJ129" s="30">
        <v>-2.4500000000000002</v>
      </c>
      <c r="AK129" s="30">
        <v>2.79</v>
      </c>
      <c r="AL129" s="22">
        <v>-2.29</v>
      </c>
      <c r="AM129" s="30" t="s">
        <v>3</v>
      </c>
      <c r="AN129" s="65" t="s">
        <v>3</v>
      </c>
      <c r="AO129" s="65" t="s">
        <v>3</v>
      </c>
      <c r="AP129" s="65" t="s">
        <v>3</v>
      </c>
      <c r="AQ129" s="65" t="s">
        <v>3</v>
      </c>
      <c r="AR129" s="65" t="s">
        <v>3</v>
      </c>
      <c r="AS129" s="46" t="s">
        <v>3</v>
      </c>
      <c r="AT129" s="46">
        <f>(264.19641-E129)/E129*10^6</f>
        <v>2.289968230219606</v>
      </c>
      <c r="AU129" s="46" t="s">
        <v>3</v>
      </c>
      <c r="AV129" s="46">
        <f>(264.19531-E129)/264.19531*10^6</f>
        <v>-1.8736138805825142</v>
      </c>
      <c r="AW129" s="53" t="s">
        <v>3</v>
      </c>
      <c r="AX129" s="53" t="s">
        <v>3</v>
      </c>
      <c r="AY129" s="57" t="s">
        <v>3</v>
      </c>
      <c r="AZ129" s="57" t="s">
        <v>3</v>
      </c>
      <c r="BA129" s="121" t="s">
        <v>3</v>
      </c>
    </row>
    <row r="130" spans="1:53" x14ac:dyDescent="0.25">
      <c r="A130" s="38">
        <v>127</v>
      </c>
      <c r="B130" s="139" t="s">
        <v>107</v>
      </c>
      <c r="C130" s="38" t="s">
        <v>138</v>
      </c>
      <c r="D130" s="38" t="s">
        <v>241</v>
      </c>
      <c r="E130" s="48">
        <v>280.19072</v>
      </c>
      <c r="F130" s="23">
        <v>6.52</v>
      </c>
      <c r="G130" s="23">
        <v>8.35</v>
      </c>
      <c r="H130" s="23" t="s">
        <v>3</v>
      </c>
      <c r="I130" s="25" t="s">
        <v>3</v>
      </c>
      <c r="J130" s="25" t="s">
        <v>3</v>
      </c>
      <c r="K130" s="118">
        <v>-4.2471254545119841</v>
      </c>
      <c r="L130" s="15" t="s">
        <v>3</v>
      </c>
      <c r="M130" s="15">
        <f>(280.19089-280.1907)/280.1907*10^6</f>
        <v>0.67810958761974216</v>
      </c>
      <c r="N130" s="15">
        <f>(280.19101-280.1907)/280.1907*10^6</f>
        <v>1.1063893270302445</v>
      </c>
      <c r="O130" s="15">
        <v>0</v>
      </c>
      <c r="P130" s="15">
        <f>(280.19031-280.1907)/280.19031*10^6</f>
        <v>-1.3919110906500756</v>
      </c>
      <c r="Q130" s="15">
        <f>(280.19119-280.1907)/280.1907*10^6</f>
        <v>1.7488089362474351</v>
      </c>
      <c r="R130" s="15">
        <f>(280.19049-280.1907)/280.19049*10^6</f>
        <v>-0.74949010575409514</v>
      </c>
      <c r="S130" s="15">
        <f>(280.1908-280.1907)/280.1907*10^6</f>
        <v>0.35689978301114694</v>
      </c>
      <c r="T130" s="15">
        <f>(280.19009-280.1907)/280.19009*10^6</f>
        <v>-2.1770934153833577</v>
      </c>
      <c r="U130" s="15">
        <f>(280.19019-280.1907)/280.19019*10^6</f>
        <v>-1.8201922059433002</v>
      </c>
      <c r="V130" s="15">
        <f>(280.19101-280.1907)/280.1907*10^6</f>
        <v>1.1063893270302445</v>
      </c>
      <c r="W130" s="28">
        <f>(280.1908-280.1907)/280.1907*10^6</f>
        <v>0.35689978301114694</v>
      </c>
      <c r="X130" s="28">
        <f>(280.19089-280.1907)/280.1907*10^6</f>
        <v>0.67810958761974216</v>
      </c>
      <c r="Y130" s="28" t="s">
        <v>3</v>
      </c>
      <c r="Z130" s="26" t="s">
        <v>3</v>
      </c>
      <c r="AA130" s="29">
        <f>(280.1908-280.1907)/280.1907*10^6</f>
        <v>0.35689978301114694</v>
      </c>
      <c r="AB130" s="29" t="s">
        <v>3</v>
      </c>
      <c r="AC130" s="27">
        <f>(280.19061-280.1907)/280.19061*10^6</f>
        <v>-0.32120990778436692</v>
      </c>
      <c r="AD130" s="27" t="s">
        <v>3</v>
      </c>
      <c r="AE130" s="21">
        <f>(280.19093-E130)/E130*10^6</f>
        <v>0.74948949052057023</v>
      </c>
      <c r="AF130" s="21">
        <f>(280.19122-E130)/E130*10^6</f>
        <v>1.7844987870696665</v>
      </c>
      <c r="AG130" s="21" t="s">
        <v>3</v>
      </c>
      <c r="AH130" s="21" t="s">
        <v>3</v>
      </c>
      <c r="AI130" s="22">
        <v>-4.5199999999999996</v>
      </c>
      <c r="AJ130" s="30">
        <v>-0.6</v>
      </c>
      <c r="AK130" s="30">
        <v>-1.69</v>
      </c>
      <c r="AL130" s="22">
        <f>8.33</f>
        <v>8.33</v>
      </c>
      <c r="AM130" s="22" t="s">
        <v>3</v>
      </c>
      <c r="AN130" s="65" t="s">
        <v>3</v>
      </c>
      <c r="AO130" s="65" t="s">
        <v>3</v>
      </c>
      <c r="AP130" s="65" t="s">
        <v>3</v>
      </c>
      <c r="AQ130" s="65" t="s">
        <v>3</v>
      </c>
      <c r="AR130" s="65" t="s">
        <v>3</v>
      </c>
      <c r="AS130" s="46" t="s">
        <v>3</v>
      </c>
      <c r="AT130" s="46">
        <f>(280.1886-E130)/280.1886*10^6</f>
        <v>-7.5663321062698339</v>
      </c>
      <c r="AU130" s="46" t="s">
        <v>3</v>
      </c>
      <c r="AV130" s="46">
        <f>(280.19019-E130)/280.19019*10^6</f>
        <v>-1.8915722924707705</v>
      </c>
      <c r="AW130" s="53" t="s">
        <v>3</v>
      </c>
      <c r="AX130" s="53" t="s">
        <v>3</v>
      </c>
      <c r="AY130" s="57" t="s">
        <v>3</v>
      </c>
      <c r="AZ130" s="57" t="s">
        <v>3</v>
      </c>
      <c r="BA130" s="121" t="s">
        <v>3</v>
      </c>
    </row>
    <row r="131" spans="1:53" x14ac:dyDescent="0.25">
      <c r="A131" s="38">
        <v>128</v>
      </c>
      <c r="B131" s="139" t="s">
        <v>115</v>
      </c>
      <c r="C131" s="38" t="s">
        <v>138</v>
      </c>
      <c r="D131" s="38" t="s">
        <v>243</v>
      </c>
      <c r="E131" s="48">
        <v>120.05562399999999</v>
      </c>
      <c r="F131" s="23">
        <v>-5.1975907433353186</v>
      </c>
      <c r="G131" s="23">
        <v>4.59</v>
      </c>
      <c r="H131" s="23" t="s">
        <v>3</v>
      </c>
      <c r="I131" s="25" t="s">
        <v>3</v>
      </c>
      <c r="J131" s="25" t="s">
        <v>3</v>
      </c>
      <c r="K131" s="118">
        <v>-0.95</v>
      </c>
      <c r="L131" s="15" t="s">
        <v>3</v>
      </c>
      <c r="M131" s="15">
        <f>(120.0555-120.05562)/120.0555*10^6</f>
        <v>-0.99953771388789303</v>
      </c>
      <c r="N131" s="15">
        <f>(120.0555-120.05562)/120.0555*10^6</f>
        <v>-0.99953771388789303</v>
      </c>
      <c r="O131" s="15">
        <f>(120.0554-120.05562)/120.0554*10^6</f>
        <v>-1.8324873350034794</v>
      </c>
      <c r="P131" s="15">
        <v>0</v>
      </c>
      <c r="Q131" s="15">
        <f>(120.0556-120.05562)/120.0556*10^6</f>
        <v>-0.16658948026038164</v>
      </c>
      <c r="R131" s="15">
        <f>(120.0556-120.05562)/120.0556*10^6</f>
        <v>-0.16658948026038164</v>
      </c>
      <c r="S131" s="15">
        <f>(120.0554-120.05562)/120.0554*10^6</f>
        <v>-1.8324873350034794</v>
      </c>
      <c r="T131" s="15">
        <f>(120.0555-120.05562)/120.0555*10^6</f>
        <v>-0.99953771388789303</v>
      </c>
      <c r="U131" s="15">
        <f>(120.0555-120.05562)/120.0555*10^6</f>
        <v>-0.99953771388789303</v>
      </c>
      <c r="V131" s="15">
        <f>(120.0555-120.05562)/120.0555*10^6</f>
        <v>-0.99953771388789303</v>
      </c>
      <c r="W131" s="28">
        <f>(120.0557-120.05562)/120.05562*10^6</f>
        <v>0.66635780979658743</v>
      </c>
      <c r="X131" s="28">
        <f>(120.0557-120.05562)/120.05562*10^6</f>
        <v>0.66635780979658743</v>
      </c>
      <c r="Y131" s="28" t="s">
        <v>3</v>
      </c>
      <c r="Z131" s="26">
        <f>(120.0559-120.05562)/120.05562*10^6</f>
        <v>2.3322523342880563</v>
      </c>
      <c r="AA131" s="29">
        <f>(120.0557-120.05562)/120.05562*10^6</f>
        <v>0.66635780979658743</v>
      </c>
      <c r="AB131" s="29" t="s">
        <v>3</v>
      </c>
      <c r="AC131" s="27">
        <f>(120.0556-120.05562)/120.0556*10^6</f>
        <v>-0.16658948026038164</v>
      </c>
      <c r="AD131" s="27" t="s">
        <v>3</v>
      </c>
      <c r="AE131" s="21">
        <f>(120.0556-E131)/120.0556*10^6</f>
        <v>-0.19990737621776281</v>
      </c>
      <c r="AF131" s="21">
        <f>(120.05542-E131)/120.05542*10^6</f>
        <v>-1.6992152457301828</v>
      </c>
      <c r="AG131" s="21">
        <f>(120.05567-E131)/120.05567*10^6</f>
        <v>0.38315558117129211</v>
      </c>
      <c r="AH131" s="21">
        <f>(120.05525-E131)/120.05525*10^6</f>
        <v>-3.1152323617139372</v>
      </c>
      <c r="AI131" s="22">
        <v>11.87</v>
      </c>
      <c r="AJ131" s="30">
        <v>2.06</v>
      </c>
      <c r="AK131" s="30">
        <v>8.51</v>
      </c>
      <c r="AL131" s="22">
        <v>4.37</v>
      </c>
      <c r="AM131" s="22" t="s">
        <v>3</v>
      </c>
      <c r="AN131" s="65" t="s">
        <v>3</v>
      </c>
      <c r="AO131" s="65" t="s">
        <v>3</v>
      </c>
      <c r="AP131" s="65" t="s">
        <v>3</v>
      </c>
      <c r="AQ131" s="65" t="s">
        <v>3</v>
      </c>
      <c r="AR131" s="65" t="s">
        <v>3</v>
      </c>
      <c r="AS131" s="46">
        <f>(120.0536-E131)/120.0536*10^6</f>
        <v>-16.859136252403825</v>
      </c>
      <c r="AT131" s="46">
        <f>(120.0549-E131)/120.0549*10^6</f>
        <v>-6.0305743454958112</v>
      </c>
      <c r="AU131" s="46">
        <f>(120.0547-E131)/120.0547*10^6</f>
        <v>-7.6964916825222547</v>
      </c>
      <c r="AV131" s="46">
        <f>(120.0552-E131)/120.0552*10^6</f>
        <v>-3.5317087472705642</v>
      </c>
      <c r="AW131" s="53" t="s">
        <v>3</v>
      </c>
      <c r="AX131" s="53" t="s">
        <v>3</v>
      </c>
      <c r="AY131" s="57" t="s">
        <v>3</v>
      </c>
      <c r="AZ131" s="57">
        <f>(120.055687-E131)/120.055687*10^6</f>
        <v>0.52475648247692375</v>
      </c>
      <c r="BA131" s="121">
        <f>(120.05588-E131)/120.05588*10^6</f>
        <v>2.1323403735607243</v>
      </c>
    </row>
    <row r="132" spans="1:53" x14ac:dyDescent="0.25">
      <c r="A132" s="38">
        <v>129</v>
      </c>
      <c r="B132" s="139" t="s">
        <v>97</v>
      </c>
      <c r="C132" s="38" t="s">
        <v>138</v>
      </c>
      <c r="D132" s="38" t="s">
        <v>244</v>
      </c>
      <c r="E132" s="48">
        <v>164.04545300000001</v>
      </c>
      <c r="F132" s="23" t="s">
        <v>3</v>
      </c>
      <c r="G132" s="23" t="s">
        <v>3</v>
      </c>
      <c r="H132" s="23" t="s">
        <v>3</v>
      </c>
      <c r="I132" s="25" t="s">
        <v>3</v>
      </c>
      <c r="J132" s="25" t="s">
        <v>3</v>
      </c>
      <c r="K132" s="117" t="s">
        <v>3</v>
      </c>
      <c r="L132" s="15" t="s">
        <v>3</v>
      </c>
      <c r="M132" s="15">
        <f>(164.0455-164.04545)/164.04545*10^6</f>
        <v>0.30479358016860986</v>
      </c>
      <c r="N132" s="15">
        <f>(164.04539-164.04545)/164.04539*10^6</f>
        <v>-0.36575242980386774</v>
      </c>
      <c r="O132" s="15">
        <f>(164.04539-164.04545)/164.04539*10^6</f>
        <v>-0.36575242980386774</v>
      </c>
      <c r="P132" s="15">
        <f>(164.0455-164.04545)/164.04545*10^6</f>
        <v>0.30479358016860986</v>
      </c>
      <c r="Q132" s="15">
        <f>(164.04559-164.04545)/164.04545*10^6</f>
        <v>0.85342202429885261</v>
      </c>
      <c r="R132" s="15">
        <f>(164.04539-164.04545)/164.04539*10^6</f>
        <v>-0.36575242980386774</v>
      </c>
      <c r="S132" s="15">
        <f>(164.0453-164.04545)/164.0453*10^6</f>
        <v>-0.91438157625222205</v>
      </c>
      <c r="T132" s="15">
        <f>(164.04539-164.04545)/164.04539*10^6</f>
        <v>-0.36575242980386774</v>
      </c>
      <c r="U132" s="15" t="s">
        <v>3</v>
      </c>
      <c r="V132" s="15">
        <f>(164.0455-164.04545)/164.04545*10^6</f>
        <v>0.30479358016860986</v>
      </c>
      <c r="W132" s="28" t="s">
        <v>3</v>
      </c>
      <c r="X132" s="28" t="s">
        <v>3</v>
      </c>
      <c r="Y132" s="28" t="s">
        <v>3</v>
      </c>
      <c r="Z132" s="26" t="s">
        <v>3</v>
      </c>
      <c r="AA132" s="29" t="s">
        <v>3</v>
      </c>
      <c r="AB132" s="29" t="s">
        <v>3</v>
      </c>
      <c r="AC132" s="27" t="s">
        <v>3</v>
      </c>
      <c r="AD132" s="27" t="s">
        <v>3</v>
      </c>
      <c r="AE132" s="21" t="s">
        <v>3</v>
      </c>
      <c r="AF132" s="21" t="s">
        <v>3</v>
      </c>
      <c r="AG132" s="21" t="s">
        <v>3</v>
      </c>
      <c r="AH132" s="21" t="s">
        <v>3</v>
      </c>
      <c r="AI132" s="22" t="s">
        <v>3</v>
      </c>
      <c r="AJ132" s="22" t="s">
        <v>3</v>
      </c>
      <c r="AK132" s="22" t="s">
        <v>3</v>
      </c>
      <c r="AL132" s="22" t="s">
        <v>3</v>
      </c>
      <c r="AM132" s="22" t="s">
        <v>3</v>
      </c>
      <c r="AN132" s="65" t="s">
        <v>3</v>
      </c>
      <c r="AO132" s="65" t="s">
        <v>3</v>
      </c>
      <c r="AP132" s="65" t="s">
        <v>3</v>
      </c>
      <c r="AQ132" s="65" t="s">
        <v>3</v>
      </c>
      <c r="AR132" s="65" t="s">
        <v>3</v>
      </c>
      <c r="AS132" s="46" t="s">
        <v>3</v>
      </c>
      <c r="AT132" s="46" t="s">
        <v>3</v>
      </c>
      <c r="AU132" s="46" t="s">
        <v>3</v>
      </c>
      <c r="AV132" s="46" t="s">
        <v>3</v>
      </c>
      <c r="AW132" s="53" t="s">
        <v>3</v>
      </c>
      <c r="AX132" s="53" t="s">
        <v>3</v>
      </c>
      <c r="AY132" s="57" t="s">
        <v>3</v>
      </c>
      <c r="AZ132" s="57" t="s">
        <v>3</v>
      </c>
      <c r="BA132" s="121" t="s">
        <v>3</v>
      </c>
    </row>
    <row r="133" spans="1:53" x14ac:dyDescent="0.25">
      <c r="A133" s="38">
        <v>130</v>
      </c>
      <c r="B133" s="139" t="s">
        <v>27</v>
      </c>
      <c r="C133" s="38" t="s">
        <v>139</v>
      </c>
      <c r="D133" s="38" t="s">
        <v>245</v>
      </c>
      <c r="E133" s="48">
        <v>213.963809</v>
      </c>
      <c r="F133" s="23" t="s">
        <v>564</v>
      </c>
      <c r="G133" s="23" t="s">
        <v>564</v>
      </c>
      <c r="H133" s="23" t="s">
        <v>564</v>
      </c>
      <c r="I133" s="25" t="s">
        <v>3</v>
      </c>
      <c r="J133" s="25" t="s">
        <v>3</v>
      </c>
      <c r="K133" s="117">
        <v>2.2901070181658025</v>
      </c>
      <c r="L133" s="15">
        <f>(213.963-213.9638)/213.963*10^6</f>
        <v>-3.7389642134300582</v>
      </c>
      <c r="M133" s="15">
        <f>(213.96359-213.9638)/213.96359*10^6</f>
        <v>-0.98147539953592899</v>
      </c>
      <c r="N133" s="15">
        <f>(213.96339-213.9638)/213.96339*10^6</f>
        <v>-1.9162156665588028</v>
      </c>
      <c r="O133" s="15">
        <f>(213.9637-213.9638)/213.9637*10^6</f>
        <v>-0.46736899765389955</v>
      </c>
      <c r="P133" s="15">
        <f>(213.9637-213.9638)/213.9637*10^6</f>
        <v>-0.46736899765389955</v>
      </c>
      <c r="Q133" s="15">
        <f>(213.96359-213.9638)/213.96359*10^6</f>
        <v>-0.98147539953592899</v>
      </c>
      <c r="R133" s="15">
        <f>(213.9635-213.9638)/213.9635*10^6</f>
        <v>-1.4021083034327688</v>
      </c>
      <c r="S133" s="15">
        <f>(213.9635-213.9638)/213.9635*10^6</f>
        <v>-1.4021083034327688</v>
      </c>
      <c r="T133" s="15">
        <f>(213.96359-213.9638)/213.96359*10^6</f>
        <v>-0.98147539953592899</v>
      </c>
      <c r="U133" s="15">
        <f>(213.96359-213.9638)/213.96359*10^6</f>
        <v>-0.98147539953592899</v>
      </c>
      <c r="V133" s="15">
        <f>(213.96359-213.9638)/213.96359*10^6</f>
        <v>-0.98147539953592899</v>
      </c>
      <c r="W133" s="20" t="s">
        <v>564</v>
      </c>
      <c r="X133" s="20" t="s">
        <v>564</v>
      </c>
      <c r="Y133" s="20" t="s">
        <v>564</v>
      </c>
      <c r="Z133" s="26">
        <f>(213.963-213.9638)/213.963*10^6</f>
        <v>-3.7389642134300582</v>
      </c>
      <c r="AA133" s="29">
        <f>(213.9639-213.9638)/213.9638*10^6</f>
        <v>0.46736877922022163</v>
      </c>
      <c r="AB133" s="29">
        <f>(213.96381-213.9638)/213.9638*10^6</f>
        <v>4.6736877935305586E-2</v>
      </c>
      <c r="AC133" s="27">
        <f>(213.9639-213.9638)/213.9638*10^6</f>
        <v>0.46736877922022163</v>
      </c>
      <c r="AD133" s="27" t="s">
        <v>3</v>
      </c>
      <c r="AE133" s="21">
        <f>(213.96453-E133)/E133*10^6</f>
        <v>3.3697287563180338</v>
      </c>
      <c r="AF133" s="21">
        <f>(213.96452-E133)/E133*10^6</f>
        <v>3.3229918803486305</v>
      </c>
      <c r="AG133" s="21" t="s">
        <v>3</v>
      </c>
      <c r="AH133" s="21">
        <f>(213.9632-E133)/213.9632*10^6</f>
        <v>-2.8462838469287948</v>
      </c>
      <c r="AI133" s="22">
        <v>-4.59</v>
      </c>
      <c r="AJ133" s="22" t="s">
        <v>564</v>
      </c>
      <c r="AK133" s="30">
        <v>-4.76</v>
      </c>
      <c r="AL133" s="22">
        <v>-2.7</v>
      </c>
      <c r="AM133" s="22" t="s">
        <v>564</v>
      </c>
      <c r="AN133" s="65" t="s">
        <v>564</v>
      </c>
      <c r="AO133" s="65" t="s">
        <v>564</v>
      </c>
      <c r="AP133" s="65" t="s">
        <v>564</v>
      </c>
      <c r="AQ133" s="65" t="s">
        <v>564</v>
      </c>
      <c r="AR133" s="65" t="s">
        <v>564</v>
      </c>
      <c r="AS133" s="46">
        <f>(213.9631-E133)/213.9631*10^6</f>
        <v>-3.3136554854576081</v>
      </c>
      <c r="AT133" s="46">
        <f>(213.9664-E133)/E133*10^6</f>
        <v>12.109524559806967</v>
      </c>
      <c r="AU133" s="46">
        <f>(213.964-E133)/E133*10^6</f>
        <v>0.8926743307366547</v>
      </c>
      <c r="AV133" s="46">
        <f>(213.96201-E133)/213.96201*10^6</f>
        <v>-8.4080346787050431</v>
      </c>
      <c r="AW133" s="53">
        <f>(213.963986-E133)/213.963986*10^6</f>
        <v>0.82724202010269765</v>
      </c>
      <c r="AX133" s="53" t="s">
        <v>3</v>
      </c>
      <c r="AY133" s="57">
        <f>(213.963958-E133)/213.963958*10^6</f>
        <v>0.69637896674772393</v>
      </c>
      <c r="AZ133" s="57">
        <f>(213.963627-E133)/213.963627*10^6</f>
        <v>-0.85061186589083904</v>
      </c>
      <c r="BA133" s="121">
        <f>(213.963763-E133)/213.963763*10^6</f>
        <v>-0.21498967560010618</v>
      </c>
    </row>
    <row r="134" spans="1:53" x14ac:dyDescent="0.25">
      <c r="A134" s="38">
        <v>131</v>
      </c>
      <c r="B134" s="139" t="s">
        <v>28</v>
      </c>
      <c r="C134" s="38" t="s">
        <v>139</v>
      </c>
      <c r="D134" s="38" t="s">
        <v>246</v>
      </c>
      <c r="E134" s="48">
        <v>201.98156700000001</v>
      </c>
      <c r="F134" s="23" t="s">
        <v>564</v>
      </c>
      <c r="G134" s="23" t="s">
        <v>564</v>
      </c>
      <c r="H134" s="23" t="s">
        <v>564</v>
      </c>
      <c r="I134" s="25" t="s">
        <v>3</v>
      </c>
      <c r="J134" s="25" t="s">
        <v>3</v>
      </c>
      <c r="K134" s="117">
        <v>0</v>
      </c>
      <c r="L134" s="15" t="s">
        <v>3</v>
      </c>
      <c r="M134" s="15">
        <f>(201.9812-201.98157)/201.9812*10^6</f>
        <v>-1.831853657685746</v>
      </c>
      <c r="N134" s="15">
        <f>(201.98129-201.98157)/201.98129*10^6</f>
        <v>-1.3862670151458616</v>
      </c>
      <c r="O134" s="15">
        <f>(201.98129-201.98157)/201.98129*10^6</f>
        <v>-1.3862670151458616</v>
      </c>
      <c r="P134" s="15">
        <f>(201.9812-201.98157)/201.9812*10^6</f>
        <v>-1.831853657685746</v>
      </c>
      <c r="Q134" s="15">
        <f>(201.98129-201.98157)/201.98129*10^6</f>
        <v>-1.3862670151458616</v>
      </c>
      <c r="R134" s="15">
        <f>(201.9812-201.98157)/201.9812*10^6</f>
        <v>-1.831853657685746</v>
      </c>
      <c r="S134" s="15">
        <f>(201.98129-201.98157)/201.98129*10^6</f>
        <v>-1.3862670151458616</v>
      </c>
      <c r="T134" s="15">
        <f>(201.98129-201.98157)/201.98129*10^6</f>
        <v>-1.3862670151458616</v>
      </c>
      <c r="U134" s="15">
        <f>(201.9812-201.98157)/201.9812*10^6</f>
        <v>-1.831853657685746</v>
      </c>
      <c r="V134" s="15">
        <f>(201.98109-201.98157)/201.98109*10^6</f>
        <v>-2.3764600934188937</v>
      </c>
      <c r="W134" s="20" t="s">
        <v>564</v>
      </c>
      <c r="X134" s="20" t="s">
        <v>564</v>
      </c>
      <c r="Y134" s="20" t="s">
        <v>564</v>
      </c>
      <c r="Z134" s="26">
        <f>(201.981-201.98157)/201.981*10^6</f>
        <v>-2.8220476183918071</v>
      </c>
      <c r="AA134" s="29">
        <f>(201.9816-201.98157)/201.98157*10^6</f>
        <v>0.14852840277011758</v>
      </c>
      <c r="AB134" s="29" t="s">
        <v>3</v>
      </c>
      <c r="AC134" s="27">
        <f>(201.9816-201.98157)/201.98157*10^6</f>
        <v>0.14852840277011758</v>
      </c>
      <c r="AD134" s="27" t="s">
        <v>3</v>
      </c>
      <c r="AE134" s="21">
        <f>(201.9816-E134)/E134*10^6</f>
        <v>0.16338124544566202</v>
      </c>
      <c r="AF134" s="21">
        <f>(201.98193-E134)/E134*10^6</f>
        <v>1.7971937013094259</v>
      </c>
      <c r="AG134" s="21" t="s">
        <v>3</v>
      </c>
      <c r="AH134" s="21" t="s">
        <v>3</v>
      </c>
      <c r="AI134" s="22">
        <v>-3.52</v>
      </c>
      <c r="AJ134" s="22" t="s">
        <v>564</v>
      </c>
      <c r="AK134" s="30">
        <v>-1.75</v>
      </c>
      <c r="AL134" s="22">
        <v>-3.54</v>
      </c>
      <c r="AM134" s="22" t="s">
        <v>564</v>
      </c>
      <c r="AN134" s="65" t="s">
        <v>564</v>
      </c>
      <c r="AO134" s="65" t="s">
        <v>564</v>
      </c>
      <c r="AP134" s="65" t="s">
        <v>564</v>
      </c>
      <c r="AQ134" s="65" t="s">
        <v>564</v>
      </c>
      <c r="AR134" s="65" t="s">
        <v>564</v>
      </c>
      <c r="AS134" s="46" t="s">
        <v>3</v>
      </c>
      <c r="AT134" s="46">
        <f>(201.9812-E134)/201.9812*10^6</f>
        <v>-1.8170007902286476</v>
      </c>
      <c r="AU134" s="46" t="s">
        <v>3</v>
      </c>
      <c r="AV134" s="46">
        <f>(201.9807-E134)/201.9807*10^6</f>
        <v>-4.2924893318990724</v>
      </c>
      <c r="AW134" s="53" t="s">
        <v>3</v>
      </c>
      <c r="AX134" s="53" t="s">
        <v>3</v>
      </c>
      <c r="AY134" s="57">
        <f>(201.981735-E134)/201.981735*10^6</f>
        <v>0.83175837643807105</v>
      </c>
      <c r="AZ134" s="57">
        <f>(201.981943-E134)/201.981943*10^6</f>
        <v>1.8615525447668739</v>
      </c>
      <c r="BA134" s="121" t="s">
        <v>3</v>
      </c>
    </row>
    <row r="135" spans="1:53" x14ac:dyDescent="0.25">
      <c r="A135" s="38">
        <v>132</v>
      </c>
      <c r="B135" s="139" t="s">
        <v>29</v>
      </c>
      <c r="C135" s="38" t="s">
        <v>139</v>
      </c>
      <c r="D135" s="38" t="s">
        <v>247</v>
      </c>
      <c r="E135" s="48">
        <v>172.99140299999999</v>
      </c>
      <c r="F135" s="23" t="s">
        <v>564</v>
      </c>
      <c r="G135" s="23" t="s">
        <v>564</v>
      </c>
      <c r="H135" s="23" t="s">
        <v>564</v>
      </c>
      <c r="I135" s="25" t="s">
        <v>3</v>
      </c>
      <c r="J135" s="25" t="s">
        <v>3</v>
      </c>
      <c r="K135" s="117" t="s">
        <v>3</v>
      </c>
      <c r="L135" s="15">
        <f>(172.9908-172.9914)/172.9908*10^6</f>
        <v>-3.4683925387448129</v>
      </c>
      <c r="M135" s="15">
        <f>(172.99091-172.9914)/172.99091*10^6</f>
        <v>-2.8325187721424343</v>
      </c>
      <c r="N135" s="15">
        <f>(172.9911-172.9914)/172.9911*10^6</f>
        <v>-1.7341932620230693</v>
      </c>
      <c r="O135" s="15">
        <f>(172.9911-172.9914)/172.9911*10^6</f>
        <v>-1.7341932620230693</v>
      </c>
      <c r="P135" s="15">
        <f>(172.9911-172.9914)/172.9911*10^6</f>
        <v>-1.7341932620230693</v>
      </c>
      <c r="Q135" s="15">
        <f>(172.9912-172.9914)/172.9912*10^6</f>
        <v>-1.1561281730321502</v>
      </c>
      <c r="R135" s="15">
        <f>(172.991-172.9914)/172.991*10^6</f>
        <v>-2.3122590191678003</v>
      </c>
      <c r="S135" s="15">
        <f>(172.9911-172.9914)/172.9911*10^6</f>
        <v>-1.7341932620230693</v>
      </c>
      <c r="T135" s="15">
        <f>(172.9912-172.9914)/172.9912*10^6</f>
        <v>-1.1561281730321502</v>
      </c>
      <c r="U135" s="15">
        <f>(172.9911-172.9914)/172.9911*10^6</f>
        <v>-1.7341932620230693</v>
      </c>
      <c r="V135" s="15">
        <f>(172.9911-172.9914)/172.9911*10^6</f>
        <v>-1.7341932620230693</v>
      </c>
      <c r="W135" s="20" t="s">
        <v>564</v>
      </c>
      <c r="X135" s="20" t="s">
        <v>564</v>
      </c>
      <c r="Y135" s="20" t="s">
        <v>564</v>
      </c>
      <c r="Z135" s="26">
        <f>(172.99071-172.9914)/172.99071*10^6</f>
        <v>-3.9886534946971528</v>
      </c>
      <c r="AA135" s="29">
        <f>(172.9913-172.9914)/172.9913*10^6</f>
        <v>-0.57806375235818019</v>
      </c>
      <c r="AB135" s="29" t="s">
        <v>3</v>
      </c>
      <c r="AC135" s="27">
        <f>(172.9915-172.9914)/172.9914*10^6</f>
        <v>0.57806341820067164</v>
      </c>
      <c r="AD135" s="27" t="s">
        <v>3</v>
      </c>
      <c r="AE135" s="21">
        <f>(172.99167-E135)/E135*10^6</f>
        <v>1.5434292998248638</v>
      </c>
      <c r="AF135" s="21" t="s">
        <v>3</v>
      </c>
      <c r="AG135" s="21" t="s">
        <v>3</v>
      </c>
      <c r="AH135" s="21" t="s">
        <v>3</v>
      </c>
      <c r="AI135" s="22" t="s">
        <v>3</v>
      </c>
      <c r="AJ135" s="22" t="s">
        <v>564</v>
      </c>
      <c r="AK135" s="30">
        <v>-0.87</v>
      </c>
      <c r="AL135" s="22">
        <v>-0.83</v>
      </c>
      <c r="AM135" s="22" t="s">
        <v>564</v>
      </c>
      <c r="AN135" s="65" t="s">
        <v>564</v>
      </c>
      <c r="AO135" s="65" t="s">
        <v>564</v>
      </c>
      <c r="AP135" s="65" t="s">
        <v>564</v>
      </c>
      <c r="AQ135" s="65" t="s">
        <v>564</v>
      </c>
      <c r="AR135" s="65" t="s">
        <v>564</v>
      </c>
      <c r="AS135" s="46" t="s">
        <v>3</v>
      </c>
      <c r="AT135" s="46" t="s">
        <v>3</v>
      </c>
      <c r="AU135" s="46" t="s">
        <v>3</v>
      </c>
      <c r="AV135" s="46" t="s">
        <v>3</v>
      </c>
      <c r="AW135" s="53" t="s">
        <v>3</v>
      </c>
      <c r="AX135" s="53" t="s">
        <v>3</v>
      </c>
      <c r="AY135" s="57" t="s">
        <v>3</v>
      </c>
      <c r="AZ135" s="57" t="s">
        <v>3</v>
      </c>
      <c r="BA135" s="121" t="s">
        <v>3</v>
      </c>
    </row>
    <row r="136" spans="1:53" x14ac:dyDescent="0.25">
      <c r="A136" s="38">
        <v>133</v>
      </c>
      <c r="B136" s="139" t="s">
        <v>30</v>
      </c>
      <c r="C136" s="38" t="s">
        <v>139</v>
      </c>
      <c r="D136" s="38" t="s">
        <v>248</v>
      </c>
      <c r="E136" s="48">
        <v>199.04343900000001</v>
      </c>
      <c r="F136" s="23" t="s">
        <v>564</v>
      </c>
      <c r="G136" s="23" t="s">
        <v>564</v>
      </c>
      <c r="H136" s="23" t="s">
        <v>564</v>
      </c>
      <c r="I136" s="25" t="s">
        <v>3</v>
      </c>
      <c r="J136" s="25" t="s">
        <v>3</v>
      </c>
      <c r="K136" s="117">
        <v>2.5120149676733736</v>
      </c>
      <c r="L136" s="15" t="s">
        <v>3</v>
      </c>
      <c r="M136" s="15">
        <f>(199.0433-199.04344)/199.0433*10^6</f>
        <v>-0.7033645443781138</v>
      </c>
      <c r="N136" s="15">
        <f>(199.0433-199.04344)/199.0433*10^6</f>
        <v>-0.7033645443781138</v>
      </c>
      <c r="O136" s="15">
        <f>(199.0434-199.04344)/199.0434*10^6</f>
        <v>-0.20096119747098648</v>
      </c>
      <c r="P136" s="15">
        <f>(199.0434-199.04344)/199.0434*10^6</f>
        <v>-0.20096119747098648</v>
      </c>
      <c r="Q136" s="15">
        <f>(199.0434-199.04344)/199.0434*10^6</f>
        <v>-0.20096119747098648</v>
      </c>
      <c r="R136" s="15">
        <f>(199.04311-199.04344)/199.04311*10^6</f>
        <v>-1.6579322941199002</v>
      </c>
      <c r="S136" s="15">
        <f>(199.0432-199.04344)/199.0432*10^6</f>
        <v>-1.2057683959608472</v>
      </c>
      <c r="T136" s="15">
        <f>(199.04179-199.04344)/199.04179*10^6</f>
        <v>-8.2897164460395061</v>
      </c>
      <c r="U136" s="15">
        <f>(199.04311-199.04344)/199.04311*10^6</f>
        <v>-1.6579322941199002</v>
      </c>
      <c r="V136" s="15">
        <f>(199.0433-199.04344)/199.0433*10^6</f>
        <v>-0.7033645443781138</v>
      </c>
      <c r="W136" s="20" t="s">
        <v>564</v>
      </c>
      <c r="X136" s="20" t="s">
        <v>564</v>
      </c>
      <c r="Y136" s="20" t="s">
        <v>564</v>
      </c>
      <c r="Z136" s="26">
        <f>(199.0428-199.04344)/199.0428*10^6</f>
        <v>-3.2153888510621473</v>
      </c>
      <c r="AA136" s="29">
        <f>(199.0435-199.04344)/199.04344*10^6</f>
        <v>0.30144173548559605</v>
      </c>
      <c r="AB136" s="29">
        <f>(199.0434-199.04344)/199.0434*10^6</f>
        <v>-0.20096119747098648</v>
      </c>
      <c r="AC136" s="27">
        <f>(199.0434-199.04344)/199.0434*10^6</f>
        <v>-0.20096119747098648</v>
      </c>
      <c r="AD136" s="27" t="s">
        <v>3</v>
      </c>
      <c r="AE136" s="21">
        <f>(199.04387-E136)/E136*10^6</f>
        <v>2.1653564777478276</v>
      </c>
      <c r="AF136" s="21" t="s">
        <v>3</v>
      </c>
      <c r="AG136" s="21">
        <f>(199.04292-E136)/199.04292*10^6</f>
        <v>-2.6074778243659686</v>
      </c>
      <c r="AH136" s="21">
        <f>(199.04377-E136)/E136*10^6</f>
        <v>1.662953582652553</v>
      </c>
      <c r="AI136" s="22" t="s">
        <v>3</v>
      </c>
      <c r="AJ136" s="22" t="s">
        <v>564</v>
      </c>
      <c r="AK136" s="30">
        <v>-0.15</v>
      </c>
      <c r="AL136" s="22">
        <v>-2.2999999999999998</v>
      </c>
      <c r="AM136" s="22" t="s">
        <v>564</v>
      </c>
      <c r="AN136" s="65" t="s">
        <v>564</v>
      </c>
      <c r="AO136" s="65" t="s">
        <v>564</v>
      </c>
      <c r="AP136" s="65" t="s">
        <v>564</v>
      </c>
      <c r="AQ136" s="65" t="s">
        <v>564</v>
      </c>
      <c r="AR136" s="65" t="s">
        <v>564</v>
      </c>
      <c r="AS136" s="46">
        <f>(199.04671-E136)/E136*10^6</f>
        <v>16.433598697939573</v>
      </c>
      <c r="AT136" s="46">
        <f>(199.0443-E136)/E136*10^6</f>
        <v>4.3256889265575529</v>
      </c>
      <c r="AU136" s="46" t="s">
        <v>3</v>
      </c>
      <c r="AV136" s="46">
        <f>(199.0416-E136)/199.0416*10^6</f>
        <v>-9.2392746039929925</v>
      </c>
      <c r="AW136" s="53">
        <f>(199.043736-E136)/199.043736*10^6</f>
        <v>1.4921343718604212</v>
      </c>
      <c r="AX136" s="53" t="s">
        <v>3</v>
      </c>
      <c r="AY136" s="57">
        <f>(199.043698-E136)/199.043698*10^6</f>
        <v>1.3012218050721061</v>
      </c>
      <c r="AZ136" s="57">
        <f>(199.043767-E136)/199.043767*10^6</f>
        <v>1.6478787803292991</v>
      </c>
      <c r="BA136" s="121">
        <f>(199.043142-E136)/199.043142*10^6</f>
        <v>-1.4921388249464693</v>
      </c>
    </row>
    <row r="137" spans="1:53" x14ac:dyDescent="0.25">
      <c r="A137" s="38">
        <v>134</v>
      </c>
      <c r="B137" s="139" t="s">
        <v>31</v>
      </c>
      <c r="C137" s="38" t="s">
        <v>139</v>
      </c>
      <c r="D137" s="38" t="s">
        <v>249</v>
      </c>
      <c r="E137" s="48">
        <v>151.04006799999999</v>
      </c>
      <c r="F137" s="23" t="s">
        <v>564</v>
      </c>
      <c r="G137" s="23" t="s">
        <v>564</v>
      </c>
      <c r="H137" s="23" t="s">
        <v>564</v>
      </c>
      <c r="I137" s="25" t="s">
        <v>3</v>
      </c>
      <c r="J137" s="25" t="s">
        <v>3</v>
      </c>
      <c r="K137" s="117" t="s">
        <v>3</v>
      </c>
      <c r="L137" s="15" t="s">
        <v>3</v>
      </c>
      <c r="M137" s="15" t="s">
        <v>3</v>
      </c>
      <c r="N137" s="15" t="s">
        <v>3</v>
      </c>
      <c r="O137" s="15" t="s">
        <v>3</v>
      </c>
      <c r="P137" s="15" t="s">
        <v>3</v>
      </c>
      <c r="Q137" s="15" t="s">
        <v>3</v>
      </c>
      <c r="R137" s="15" t="s">
        <v>3</v>
      </c>
      <c r="S137" s="15" t="s">
        <v>3</v>
      </c>
      <c r="T137" s="15" t="s">
        <v>3</v>
      </c>
      <c r="U137" s="15" t="s">
        <v>3</v>
      </c>
      <c r="V137" s="15" t="s">
        <v>3</v>
      </c>
      <c r="W137" s="20" t="s">
        <v>564</v>
      </c>
      <c r="X137" s="20" t="s">
        <v>564</v>
      </c>
      <c r="Y137" s="20" t="s">
        <v>564</v>
      </c>
      <c r="Z137" s="26" t="s">
        <v>3</v>
      </c>
      <c r="AA137" s="29" t="s">
        <v>3</v>
      </c>
      <c r="AB137" s="29" t="s">
        <v>3</v>
      </c>
      <c r="AC137" s="27" t="s">
        <v>3</v>
      </c>
      <c r="AD137" s="27" t="s">
        <v>3</v>
      </c>
      <c r="AE137" s="21">
        <f>(151.03982-E137)/151.03982*10^6</f>
        <v>-1.6419511093110268</v>
      </c>
      <c r="AF137" s="21">
        <f>(151.0391-E137)/151.0391*10^6</f>
        <v>-6.4089364939297315</v>
      </c>
      <c r="AG137" s="21" t="s">
        <v>3</v>
      </c>
      <c r="AH137" s="21">
        <f>(151.0395-E137)/151.0395*10^6</f>
        <v>-3.7606056692919623</v>
      </c>
      <c r="AI137" s="22" t="s">
        <v>3</v>
      </c>
      <c r="AJ137" s="22" t="s">
        <v>564</v>
      </c>
      <c r="AK137" s="30">
        <v>4.59</v>
      </c>
      <c r="AL137" s="22" t="s">
        <v>3</v>
      </c>
      <c r="AM137" s="22" t="s">
        <v>564</v>
      </c>
      <c r="AN137" s="65" t="s">
        <v>564</v>
      </c>
      <c r="AO137" s="65" t="s">
        <v>564</v>
      </c>
      <c r="AP137" s="65" t="s">
        <v>564</v>
      </c>
      <c r="AQ137" s="65" t="s">
        <v>564</v>
      </c>
      <c r="AR137" s="65" t="s">
        <v>564</v>
      </c>
      <c r="AS137" s="46" t="s">
        <v>3</v>
      </c>
      <c r="AT137" s="46" t="s">
        <v>3</v>
      </c>
      <c r="AU137" s="46" t="s">
        <v>3</v>
      </c>
      <c r="AV137" s="46" t="s">
        <v>3</v>
      </c>
      <c r="AW137" s="53" t="s">
        <v>3</v>
      </c>
      <c r="AX137" s="53" t="s">
        <v>3</v>
      </c>
      <c r="AY137" s="57" t="s">
        <v>3</v>
      </c>
      <c r="AZ137" s="57" t="s">
        <v>3</v>
      </c>
      <c r="BA137" s="121" t="s">
        <v>3</v>
      </c>
    </row>
    <row r="138" spans="1:53" x14ac:dyDescent="0.25">
      <c r="A138" s="38">
        <v>135</v>
      </c>
      <c r="B138" s="139" t="s">
        <v>32</v>
      </c>
      <c r="C138" s="38" t="s">
        <v>139</v>
      </c>
      <c r="D138" s="38" t="s">
        <v>250</v>
      </c>
      <c r="E138" s="48">
        <v>219.17543900000001</v>
      </c>
      <c r="F138" s="23" t="s">
        <v>564</v>
      </c>
      <c r="G138" s="23" t="s">
        <v>564</v>
      </c>
      <c r="H138" s="23" t="s">
        <v>564</v>
      </c>
      <c r="I138" s="25" t="s">
        <v>3</v>
      </c>
      <c r="J138" s="25" t="s">
        <v>3</v>
      </c>
      <c r="K138" s="117" t="s">
        <v>3</v>
      </c>
      <c r="L138" s="15" t="s">
        <v>3</v>
      </c>
      <c r="M138" s="15" t="s">
        <v>3</v>
      </c>
      <c r="N138" s="15" t="s">
        <v>3</v>
      </c>
      <c r="O138" s="15" t="s">
        <v>3</v>
      </c>
      <c r="P138" s="15" t="s">
        <v>3</v>
      </c>
      <c r="Q138" s="15">
        <f>(219.1752-219.17544)/219.17371*10^6</f>
        <v>-1.0950218437208361</v>
      </c>
      <c r="R138" s="15" t="s">
        <v>3</v>
      </c>
      <c r="S138" s="15">
        <f>(219.1748-219.17544)/219.1748*10^6</f>
        <v>-2.9200437276739515</v>
      </c>
      <c r="T138" s="15">
        <f>(219.1749-219.17544)/219.1749*10^6</f>
        <v>-2.4637857710936477</v>
      </c>
      <c r="U138" s="15">
        <f>(219.175-219.17544)/219.175*10^6</f>
        <v>-2.0075282308545837</v>
      </c>
      <c r="V138" s="15" t="s">
        <v>3</v>
      </c>
      <c r="W138" s="20" t="s">
        <v>564</v>
      </c>
      <c r="X138" s="20" t="s">
        <v>564</v>
      </c>
      <c r="Y138" s="20" t="s">
        <v>564</v>
      </c>
      <c r="Z138" s="26" t="s">
        <v>3</v>
      </c>
      <c r="AA138" s="29" t="s">
        <v>3</v>
      </c>
      <c r="AB138" s="29" t="s">
        <v>3</v>
      </c>
      <c r="AC138" s="27" t="s">
        <v>3</v>
      </c>
      <c r="AD138" s="27" t="s">
        <v>3</v>
      </c>
      <c r="AE138" s="21">
        <f>(219.17639-E138)/E138*10^6</f>
        <v>4.338989826256852</v>
      </c>
      <c r="AF138" s="21">
        <f>(219.17483-E138)/219.17483*10^6</f>
        <v>-2.7786037293863393</v>
      </c>
      <c r="AG138" s="21">
        <f>(219.17597-E138)/E138*10^6</f>
        <v>2.4227167168816495</v>
      </c>
      <c r="AH138" s="21">
        <f>(219.1759-E138)/E138*10^6</f>
        <v>2.1033378653407282</v>
      </c>
      <c r="AI138" s="22" t="s">
        <v>3</v>
      </c>
      <c r="AJ138" s="22" t="s">
        <v>564</v>
      </c>
      <c r="AK138" s="30">
        <v>-3.54</v>
      </c>
      <c r="AL138" s="22">
        <v>-2.0699999999999998</v>
      </c>
      <c r="AM138" s="22" t="s">
        <v>564</v>
      </c>
      <c r="AN138" s="65" t="s">
        <v>564</v>
      </c>
      <c r="AO138" s="65" t="s">
        <v>564</v>
      </c>
      <c r="AP138" s="65" t="s">
        <v>564</v>
      </c>
      <c r="AQ138" s="65" t="s">
        <v>564</v>
      </c>
      <c r="AR138" s="65" t="s">
        <v>564</v>
      </c>
      <c r="AS138" s="46" t="s">
        <v>3</v>
      </c>
      <c r="AT138" s="46" t="s">
        <v>3</v>
      </c>
      <c r="AU138" s="46" t="s">
        <v>3</v>
      </c>
      <c r="AV138" s="46" t="s">
        <v>3</v>
      </c>
      <c r="AW138" s="53" t="s">
        <v>3</v>
      </c>
      <c r="AX138" s="53" t="s">
        <v>3</v>
      </c>
      <c r="AY138" s="57" t="s">
        <v>3</v>
      </c>
      <c r="AZ138" s="57" t="s">
        <v>3</v>
      </c>
      <c r="BA138" s="121" t="s">
        <v>3</v>
      </c>
    </row>
    <row r="139" spans="1:53" x14ac:dyDescent="0.25">
      <c r="A139" s="38">
        <v>136</v>
      </c>
      <c r="B139" s="139" t="s">
        <v>124</v>
      </c>
      <c r="C139" s="38" t="s">
        <v>139</v>
      </c>
      <c r="D139" s="38" t="s">
        <v>251</v>
      </c>
      <c r="E139" s="48">
        <v>205.15978899999999</v>
      </c>
      <c r="F139" s="23" t="s">
        <v>564</v>
      </c>
      <c r="G139" s="23" t="s">
        <v>564</v>
      </c>
      <c r="H139" s="23" t="s">
        <v>564</v>
      </c>
      <c r="I139" s="25" t="s">
        <v>3</v>
      </c>
      <c r="J139" s="25" t="s">
        <v>3</v>
      </c>
      <c r="K139" s="117" t="s">
        <v>3</v>
      </c>
      <c r="L139" s="15" t="s">
        <v>3</v>
      </c>
      <c r="M139" s="15" t="s">
        <v>3</v>
      </c>
      <c r="N139" s="15" t="s">
        <v>3</v>
      </c>
      <c r="O139" s="15" t="s">
        <v>3</v>
      </c>
      <c r="P139" s="15" t="s">
        <v>3</v>
      </c>
      <c r="Q139" s="15" t="s">
        <v>3</v>
      </c>
      <c r="R139" s="15" t="s">
        <v>3</v>
      </c>
      <c r="S139" s="15" t="s">
        <v>3</v>
      </c>
      <c r="T139" s="15" t="s">
        <v>3</v>
      </c>
      <c r="U139" s="15" t="s">
        <v>3</v>
      </c>
      <c r="V139" s="15" t="s">
        <v>3</v>
      </c>
      <c r="W139" s="20" t="s">
        <v>564</v>
      </c>
      <c r="X139" s="20" t="s">
        <v>564</v>
      </c>
      <c r="Y139" s="20" t="s">
        <v>564</v>
      </c>
      <c r="Z139" s="26" t="s">
        <v>3</v>
      </c>
      <c r="AA139" s="29">
        <f>(205.15981-205.15979)/205.15979*10^6</f>
        <v>9.7484989657809051E-2</v>
      </c>
      <c r="AB139" s="29" t="s">
        <v>3</v>
      </c>
      <c r="AC139" s="27" t="s">
        <v>3</v>
      </c>
      <c r="AD139" s="27" t="s">
        <v>3</v>
      </c>
      <c r="AE139" s="21">
        <f>(205.16053-E139)/E139*10^6</f>
        <v>3.6118188833046019</v>
      </c>
      <c r="AF139" s="21">
        <f>(205.16032-E139)/E139*10^6</f>
        <v>2.5882264873239658</v>
      </c>
      <c r="AG139" s="21">
        <f>(205.16044-E139)/E139*10^6</f>
        <v>3.173136427844748</v>
      </c>
      <c r="AH139" s="21">
        <f>(205.1607-E139)/E139*10^6</f>
        <v>4.4404412991578219</v>
      </c>
      <c r="AI139" s="22" t="s">
        <v>3</v>
      </c>
      <c r="AJ139" s="22" t="s">
        <v>564</v>
      </c>
      <c r="AK139" s="30">
        <v>-3.43</v>
      </c>
      <c r="AL139" s="22" t="s">
        <v>3</v>
      </c>
      <c r="AM139" s="22" t="s">
        <v>564</v>
      </c>
      <c r="AN139" s="65" t="s">
        <v>564</v>
      </c>
      <c r="AO139" s="65" t="s">
        <v>564</v>
      </c>
      <c r="AP139" s="65" t="s">
        <v>564</v>
      </c>
      <c r="AQ139" s="65" t="s">
        <v>564</v>
      </c>
      <c r="AR139" s="65" t="s">
        <v>564</v>
      </c>
      <c r="AS139" s="46" t="s">
        <v>3</v>
      </c>
      <c r="AT139" s="46" t="s">
        <v>3</v>
      </c>
      <c r="AU139" s="46" t="s">
        <v>3</v>
      </c>
      <c r="AV139" s="46" t="s">
        <v>3</v>
      </c>
      <c r="AW139" s="53" t="s">
        <v>3</v>
      </c>
      <c r="AX139" s="53" t="s">
        <v>3</v>
      </c>
      <c r="AY139" s="57" t="s">
        <v>3</v>
      </c>
      <c r="AZ139" s="57" t="s">
        <v>3</v>
      </c>
      <c r="BA139" s="121" t="s">
        <v>3</v>
      </c>
    </row>
    <row r="140" spans="1:53" x14ac:dyDescent="0.25">
      <c r="A140" s="38">
        <v>137</v>
      </c>
      <c r="B140" s="139" t="s">
        <v>124</v>
      </c>
      <c r="C140" s="38" t="s">
        <v>139</v>
      </c>
      <c r="D140" s="38" t="s">
        <v>251</v>
      </c>
      <c r="E140" s="48">
        <v>205.15978899999999</v>
      </c>
      <c r="F140" s="23" t="s">
        <v>564</v>
      </c>
      <c r="G140" s="23" t="s">
        <v>564</v>
      </c>
      <c r="H140" s="23" t="s">
        <v>564</v>
      </c>
      <c r="I140" s="25" t="s">
        <v>3</v>
      </c>
      <c r="J140" s="25" t="s">
        <v>3</v>
      </c>
      <c r="K140" s="117" t="s">
        <v>3</v>
      </c>
      <c r="L140" s="15" t="s">
        <v>3</v>
      </c>
      <c r="M140" s="15" t="s">
        <v>3</v>
      </c>
      <c r="N140" s="15" t="s">
        <v>3</v>
      </c>
      <c r="O140" s="15" t="s">
        <v>3</v>
      </c>
      <c r="P140" s="15" t="s">
        <v>3</v>
      </c>
      <c r="Q140" s="15" t="s">
        <v>3</v>
      </c>
      <c r="R140" s="15" t="s">
        <v>3</v>
      </c>
      <c r="S140" s="15" t="s">
        <v>3</v>
      </c>
      <c r="T140" s="15" t="s">
        <v>3</v>
      </c>
      <c r="U140" s="15" t="s">
        <v>3</v>
      </c>
      <c r="V140" s="15" t="s">
        <v>3</v>
      </c>
      <c r="W140" s="20" t="s">
        <v>564</v>
      </c>
      <c r="X140" s="20" t="s">
        <v>564</v>
      </c>
      <c r="Y140" s="20" t="s">
        <v>564</v>
      </c>
      <c r="Z140" s="26" t="s">
        <v>3</v>
      </c>
      <c r="AA140" s="29">
        <f>(205.15981-205.15979)/205.15979*10^6</f>
        <v>9.7484989657809051E-2</v>
      </c>
      <c r="AB140" s="29" t="s">
        <v>3</v>
      </c>
      <c r="AC140" s="27" t="s">
        <v>3</v>
      </c>
      <c r="AD140" s="27" t="s">
        <v>3</v>
      </c>
      <c r="AE140" s="21">
        <f>(205.16053-E140)/E140*10^6</f>
        <v>3.6118188833046019</v>
      </c>
      <c r="AF140" s="21">
        <f>(205.16032-E140)/E140*10^6</f>
        <v>2.5882264873239658</v>
      </c>
      <c r="AG140" s="21">
        <f>(205.16044-E140)/E140*10^6</f>
        <v>3.173136427844748</v>
      </c>
      <c r="AH140" s="21">
        <f>(205.1607-E140)/E140*10^6</f>
        <v>4.4404412991578219</v>
      </c>
      <c r="AI140" s="22" t="s">
        <v>3</v>
      </c>
      <c r="AJ140" s="22" t="s">
        <v>564</v>
      </c>
      <c r="AK140" s="30">
        <v>-3.43</v>
      </c>
      <c r="AL140" s="22" t="s">
        <v>3</v>
      </c>
      <c r="AM140" s="22" t="s">
        <v>564</v>
      </c>
      <c r="AN140" s="65" t="s">
        <v>564</v>
      </c>
      <c r="AO140" s="65" t="s">
        <v>564</v>
      </c>
      <c r="AP140" s="65" t="s">
        <v>564</v>
      </c>
      <c r="AQ140" s="65" t="s">
        <v>564</v>
      </c>
      <c r="AR140" s="65" t="s">
        <v>564</v>
      </c>
      <c r="AS140" s="46" t="s">
        <v>3</v>
      </c>
      <c r="AT140" s="46" t="s">
        <v>3</v>
      </c>
      <c r="AU140" s="46" t="s">
        <v>3</v>
      </c>
      <c r="AV140" s="46" t="s">
        <v>3</v>
      </c>
      <c r="AW140" s="53" t="s">
        <v>3</v>
      </c>
      <c r="AX140" s="53" t="s">
        <v>3</v>
      </c>
      <c r="AY140" s="57" t="s">
        <v>3</v>
      </c>
      <c r="AZ140" s="57" t="s">
        <v>3</v>
      </c>
      <c r="BA140" s="121" t="s">
        <v>3</v>
      </c>
    </row>
    <row r="141" spans="1:53" x14ac:dyDescent="0.25">
      <c r="A141" s="38">
        <v>138</v>
      </c>
      <c r="B141" s="139" t="s">
        <v>33</v>
      </c>
      <c r="C141" s="38" t="s">
        <v>139</v>
      </c>
      <c r="D141" s="38" t="s">
        <v>252</v>
      </c>
      <c r="E141" s="48">
        <v>227.107753</v>
      </c>
      <c r="F141" s="23" t="s">
        <v>564</v>
      </c>
      <c r="G141" s="23" t="s">
        <v>564</v>
      </c>
      <c r="H141" s="23" t="s">
        <v>564</v>
      </c>
      <c r="I141" s="25" t="s">
        <v>3</v>
      </c>
      <c r="J141" s="25" t="s">
        <v>3</v>
      </c>
      <c r="K141" s="117" t="s">
        <v>3</v>
      </c>
      <c r="L141" s="15" t="s">
        <v>3</v>
      </c>
      <c r="M141" s="15" t="s">
        <v>3</v>
      </c>
      <c r="N141" s="15" t="s">
        <v>3</v>
      </c>
      <c r="O141" s="15" t="s">
        <v>3</v>
      </c>
      <c r="P141" s="15" t="s">
        <v>3</v>
      </c>
      <c r="Q141" s="15" t="s">
        <v>3</v>
      </c>
      <c r="R141" s="15" t="s">
        <v>3</v>
      </c>
      <c r="S141" s="15" t="s">
        <v>3</v>
      </c>
      <c r="T141" s="15" t="s">
        <v>3</v>
      </c>
      <c r="U141" s="15" t="s">
        <v>3</v>
      </c>
      <c r="V141" s="15" t="s">
        <v>3</v>
      </c>
      <c r="W141" s="20" t="s">
        <v>564</v>
      </c>
      <c r="X141" s="20" t="s">
        <v>564</v>
      </c>
      <c r="Y141" s="20" t="s">
        <v>564</v>
      </c>
      <c r="Z141" s="26" t="s">
        <v>3</v>
      </c>
      <c r="AA141" s="29">
        <f>16.125*60</f>
        <v>967.5</v>
      </c>
      <c r="AB141" s="29" t="s">
        <v>3</v>
      </c>
      <c r="AC141" s="27" t="s">
        <v>3</v>
      </c>
      <c r="AD141" s="27" t="s">
        <v>3</v>
      </c>
      <c r="AE141" s="21">
        <f>(227.10759-E141)/227.10759*10^6</f>
        <v>-0.71772149937741059</v>
      </c>
      <c r="AF141" s="21" t="s">
        <v>3</v>
      </c>
      <c r="AG141" s="21" t="s">
        <v>3</v>
      </c>
      <c r="AH141" s="21" t="s">
        <v>3</v>
      </c>
      <c r="AI141" s="22" t="s">
        <v>3</v>
      </c>
      <c r="AJ141" s="22" t="s">
        <v>564</v>
      </c>
      <c r="AK141" s="30">
        <v>-1.64</v>
      </c>
      <c r="AL141" s="22" t="s">
        <v>3</v>
      </c>
      <c r="AM141" s="22" t="s">
        <v>564</v>
      </c>
      <c r="AN141" s="65" t="s">
        <v>564</v>
      </c>
      <c r="AO141" s="65" t="s">
        <v>564</v>
      </c>
      <c r="AP141" s="65" t="s">
        <v>564</v>
      </c>
      <c r="AQ141" s="65" t="s">
        <v>564</v>
      </c>
      <c r="AR141" s="65" t="s">
        <v>564</v>
      </c>
      <c r="AS141" s="46" t="s">
        <v>3</v>
      </c>
      <c r="AT141" s="46" t="s">
        <v>3</v>
      </c>
      <c r="AU141" s="46" t="s">
        <v>3</v>
      </c>
      <c r="AV141" s="46" t="s">
        <v>3</v>
      </c>
      <c r="AW141" s="53" t="s">
        <v>3</v>
      </c>
      <c r="AX141" s="53" t="s">
        <v>3</v>
      </c>
      <c r="AY141" s="57" t="s">
        <v>3</v>
      </c>
      <c r="AZ141" s="57" t="s">
        <v>3</v>
      </c>
      <c r="BA141" s="121" t="s">
        <v>3</v>
      </c>
    </row>
    <row r="142" spans="1:53" x14ac:dyDescent="0.25">
      <c r="A142" s="38">
        <v>139</v>
      </c>
      <c r="B142" s="139" t="s">
        <v>34</v>
      </c>
      <c r="C142" s="38" t="s">
        <v>139</v>
      </c>
      <c r="D142" s="38" t="s">
        <v>253</v>
      </c>
      <c r="E142" s="48">
        <v>335.051222</v>
      </c>
      <c r="F142" s="23" t="s">
        <v>564</v>
      </c>
      <c r="G142" s="23" t="s">
        <v>564</v>
      </c>
      <c r="H142" s="23" t="s">
        <v>564</v>
      </c>
      <c r="I142" s="25" t="s">
        <v>3</v>
      </c>
      <c r="J142" s="25" t="s">
        <v>3</v>
      </c>
      <c r="K142" s="117" t="s">
        <v>3</v>
      </c>
      <c r="L142" s="15" t="s">
        <v>3</v>
      </c>
      <c r="M142" s="15" t="s">
        <v>3</v>
      </c>
      <c r="N142" s="15" t="s">
        <v>3</v>
      </c>
      <c r="O142" s="15" t="s">
        <v>3</v>
      </c>
      <c r="P142" s="15" t="s">
        <v>3</v>
      </c>
      <c r="Q142" s="15" t="s">
        <v>3</v>
      </c>
      <c r="R142" s="15" t="s">
        <v>3</v>
      </c>
      <c r="S142" s="15" t="s">
        <v>3</v>
      </c>
      <c r="T142" s="15" t="s">
        <v>3</v>
      </c>
      <c r="U142" s="15" t="s">
        <v>3</v>
      </c>
      <c r="V142" s="15" t="s">
        <v>3</v>
      </c>
      <c r="W142" s="20" t="s">
        <v>564</v>
      </c>
      <c r="X142" s="20" t="s">
        <v>564</v>
      </c>
      <c r="Y142" s="20" t="s">
        <v>564</v>
      </c>
      <c r="Z142" s="26" t="s">
        <v>3</v>
      </c>
      <c r="AA142" s="29" t="s">
        <v>3</v>
      </c>
      <c r="AB142" s="29" t="s">
        <v>3</v>
      </c>
      <c r="AC142" s="27" t="s">
        <v>3</v>
      </c>
      <c r="AD142" s="27" t="s">
        <v>3</v>
      </c>
      <c r="AE142" s="21" t="s">
        <v>3</v>
      </c>
      <c r="AF142" s="21" t="s">
        <v>3</v>
      </c>
      <c r="AG142" s="21" t="s">
        <v>3</v>
      </c>
      <c r="AH142" s="21" t="s">
        <v>3</v>
      </c>
      <c r="AI142" s="22" t="s">
        <v>3</v>
      </c>
      <c r="AJ142" s="22" t="s">
        <v>564</v>
      </c>
      <c r="AK142" s="22" t="s">
        <v>3</v>
      </c>
      <c r="AL142" s="22" t="s">
        <v>3</v>
      </c>
      <c r="AM142" s="22" t="s">
        <v>564</v>
      </c>
      <c r="AN142" s="65" t="s">
        <v>564</v>
      </c>
      <c r="AO142" s="65" t="s">
        <v>564</v>
      </c>
      <c r="AP142" s="65" t="s">
        <v>564</v>
      </c>
      <c r="AQ142" s="65" t="s">
        <v>564</v>
      </c>
      <c r="AR142" s="65" t="s">
        <v>564</v>
      </c>
      <c r="AS142" s="46" t="s">
        <v>3</v>
      </c>
      <c r="AT142" s="46" t="s">
        <v>3</v>
      </c>
      <c r="AU142" s="46" t="s">
        <v>3</v>
      </c>
      <c r="AV142" s="46" t="s">
        <v>3</v>
      </c>
      <c r="AW142" s="53" t="s">
        <v>3</v>
      </c>
      <c r="AX142" s="53" t="s">
        <v>3</v>
      </c>
      <c r="AY142" s="57" t="s">
        <v>3</v>
      </c>
      <c r="AZ142" s="57" t="s">
        <v>3</v>
      </c>
      <c r="BA142" s="121" t="s">
        <v>3</v>
      </c>
    </row>
    <row r="143" spans="1:53" x14ac:dyDescent="0.25">
      <c r="A143" s="38">
        <v>140</v>
      </c>
      <c r="B143" s="139" t="s">
        <v>35</v>
      </c>
      <c r="C143" s="38" t="s">
        <v>139</v>
      </c>
      <c r="D143" s="38" t="s">
        <v>254</v>
      </c>
      <c r="E143" s="48">
        <v>289.123403</v>
      </c>
      <c r="F143" s="23" t="s">
        <v>564</v>
      </c>
      <c r="G143" s="23" t="s">
        <v>564</v>
      </c>
      <c r="H143" s="23" t="s">
        <v>564</v>
      </c>
      <c r="I143" s="25" t="s">
        <v>3</v>
      </c>
      <c r="J143" s="25" t="s">
        <v>3</v>
      </c>
      <c r="K143" s="117" t="s">
        <v>3</v>
      </c>
      <c r="L143" s="15" t="s">
        <v>3</v>
      </c>
      <c r="M143" s="15" t="s">
        <v>3</v>
      </c>
      <c r="N143" s="15" t="s">
        <v>3</v>
      </c>
      <c r="O143" s="15" t="s">
        <v>3</v>
      </c>
      <c r="P143" s="15" t="s">
        <v>3</v>
      </c>
      <c r="Q143" s="15" t="s">
        <v>3</v>
      </c>
      <c r="R143" s="15" t="s">
        <v>3</v>
      </c>
      <c r="S143" s="15" t="s">
        <v>3</v>
      </c>
      <c r="T143" s="15" t="s">
        <v>3</v>
      </c>
      <c r="U143" s="15" t="s">
        <v>3</v>
      </c>
      <c r="V143" s="15" t="s">
        <v>3</v>
      </c>
      <c r="W143" s="20" t="s">
        <v>564</v>
      </c>
      <c r="X143" s="20" t="s">
        <v>564</v>
      </c>
      <c r="Y143" s="20" t="s">
        <v>564</v>
      </c>
      <c r="Z143" s="26" t="s">
        <v>3</v>
      </c>
      <c r="AA143" s="29" t="s">
        <v>3</v>
      </c>
      <c r="AB143" s="29" t="s">
        <v>3</v>
      </c>
      <c r="AC143" s="27" t="s">
        <v>3</v>
      </c>
      <c r="AD143" s="27" t="s">
        <v>3</v>
      </c>
      <c r="AE143" s="21" t="s">
        <v>3</v>
      </c>
      <c r="AF143" s="21" t="s">
        <v>3</v>
      </c>
      <c r="AG143" s="21" t="s">
        <v>3</v>
      </c>
      <c r="AH143" s="21" t="s">
        <v>3</v>
      </c>
      <c r="AI143" s="22" t="s">
        <v>3</v>
      </c>
      <c r="AJ143" s="22" t="s">
        <v>564</v>
      </c>
      <c r="AK143" s="22" t="s">
        <v>3</v>
      </c>
      <c r="AL143" s="22" t="s">
        <v>3</v>
      </c>
      <c r="AM143" s="22" t="s">
        <v>564</v>
      </c>
      <c r="AN143" s="65" t="s">
        <v>564</v>
      </c>
      <c r="AO143" s="65" t="s">
        <v>564</v>
      </c>
      <c r="AP143" s="65" t="s">
        <v>564</v>
      </c>
      <c r="AQ143" s="65" t="s">
        <v>564</v>
      </c>
      <c r="AR143" s="65" t="s">
        <v>564</v>
      </c>
      <c r="AS143" s="46" t="s">
        <v>3</v>
      </c>
      <c r="AT143" s="46" t="s">
        <v>3</v>
      </c>
      <c r="AU143" s="46" t="s">
        <v>3</v>
      </c>
      <c r="AV143" s="46" t="s">
        <v>3</v>
      </c>
      <c r="AW143" s="53" t="s">
        <v>3</v>
      </c>
      <c r="AX143" s="53" t="s">
        <v>3</v>
      </c>
      <c r="AY143" s="57" t="s">
        <v>3</v>
      </c>
      <c r="AZ143" s="57" t="s">
        <v>3</v>
      </c>
      <c r="BA143" s="121" t="s">
        <v>3</v>
      </c>
    </row>
    <row r="144" spans="1:53" x14ac:dyDescent="0.25">
      <c r="A144" s="38">
        <v>141</v>
      </c>
      <c r="B144" s="139" t="s">
        <v>36</v>
      </c>
      <c r="C144" s="38" t="s">
        <v>139</v>
      </c>
      <c r="D144" s="38" t="s">
        <v>255</v>
      </c>
      <c r="E144" s="48">
        <v>241.123403</v>
      </c>
      <c r="F144" s="23" t="s">
        <v>564</v>
      </c>
      <c r="G144" s="23" t="s">
        <v>564</v>
      </c>
      <c r="H144" s="23" t="s">
        <v>564</v>
      </c>
      <c r="I144" s="25" t="s">
        <v>3</v>
      </c>
      <c r="J144" s="25" t="s">
        <v>3</v>
      </c>
      <c r="K144" s="117" t="s">
        <v>3</v>
      </c>
      <c r="L144" s="15" t="s">
        <v>3</v>
      </c>
      <c r="M144" s="15" t="s">
        <v>3</v>
      </c>
      <c r="N144" s="15" t="s">
        <v>3</v>
      </c>
      <c r="O144" s="15" t="s">
        <v>3</v>
      </c>
      <c r="P144" s="15" t="s">
        <v>3</v>
      </c>
      <c r="Q144" s="15" t="s">
        <v>3</v>
      </c>
      <c r="R144" s="15" t="s">
        <v>3</v>
      </c>
      <c r="S144" s="15" t="s">
        <v>3</v>
      </c>
      <c r="T144" s="15" t="s">
        <v>3</v>
      </c>
      <c r="U144" s="15" t="s">
        <v>3</v>
      </c>
      <c r="V144" s="15" t="s">
        <v>3</v>
      </c>
      <c r="W144" s="20" t="s">
        <v>564</v>
      </c>
      <c r="X144" s="20" t="s">
        <v>564</v>
      </c>
      <c r="Y144" s="20" t="s">
        <v>564</v>
      </c>
      <c r="Z144" s="26" t="s">
        <v>3</v>
      </c>
      <c r="AA144" s="29" t="s">
        <v>3</v>
      </c>
      <c r="AB144" s="29" t="s">
        <v>3</v>
      </c>
      <c r="AC144" s="27" t="s">
        <v>3</v>
      </c>
      <c r="AD144" s="27" t="s">
        <v>3</v>
      </c>
      <c r="AE144" s="21" t="s">
        <v>3</v>
      </c>
      <c r="AF144" s="21" t="s">
        <v>3</v>
      </c>
      <c r="AG144" s="21" t="s">
        <v>3</v>
      </c>
      <c r="AH144" s="21" t="s">
        <v>3</v>
      </c>
      <c r="AI144" s="22" t="s">
        <v>3</v>
      </c>
      <c r="AJ144" s="22" t="s">
        <v>564</v>
      </c>
      <c r="AK144" s="30">
        <v>1.57</v>
      </c>
      <c r="AL144" s="22" t="s">
        <v>3</v>
      </c>
      <c r="AM144" s="22" t="s">
        <v>564</v>
      </c>
      <c r="AN144" s="65" t="s">
        <v>564</v>
      </c>
      <c r="AO144" s="65" t="s">
        <v>564</v>
      </c>
      <c r="AP144" s="65" t="s">
        <v>564</v>
      </c>
      <c r="AQ144" s="65" t="s">
        <v>564</v>
      </c>
      <c r="AR144" s="65" t="s">
        <v>564</v>
      </c>
      <c r="AS144" s="46" t="s">
        <v>3</v>
      </c>
      <c r="AT144" s="46" t="s">
        <v>3</v>
      </c>
      <c r="AU144" s="46" t="s">
        <v>3</v>
      </c>
      <c r="AV144" s="46" t="s">
        <v>3</v>
      </c>
      <c r="AW144" s="53" t="s">
        <v>3</v>
      </c>
      <c r="AX144" s="53" t="s">
        <v>3</v>
      </c>
      <c r="AY144" s="57" t="s">
        <v>3</v>
      </c>
      <c r="AZ144" s="57" t="s">
        <v>3</v>
      </c>
      <c r="BA144" s="121" t="s">
        <v>3</v>
      </c>
    </row>
    <row r="145" spans="1:53" x14ac:dyDescent="0.25">
      <c r="A145" s="38">
        <v>142</v>
      </c>
      <c r="B145" s="139" t="s">
        <v>37</v>
      </c>
      <c r="C145" s="38" t="s">
        <v>139</v>
      </c>
      <c r="D145" s="38" t="s">
        <v>256</v>
      </c>
      <c r="E145" s="48">
        <v>351.13905299999999</v>
      </c>
      <c r="F145" s="23" t="s">
        <v>564</v>
      </c>
      <c r="G145" s="23" t="s">
        <v>564</v>
      </c>
      <c r="H145" s="23" t="s">
        <v>564</v>
      </c>
      <c r="I145" s="25" t="s">
        <v>3</v>
      </c>
      <c r="J145" s="25" t="s">
        <v>3</v>
      </c>
      <c r="K145" s="117" t="s">
        <v>3</v>
      </c>
      <c r="L145" s="15" t="s">
        <v>3</v>
      </c>
      <c r="M145" s="15">
        <f>(351.1391-351.14)/351.1391*10^6</f>
        <v>-2.5630868222919498</v>
      </c>
      <c r="N145" s="15">
        <f>(351.1394-351.14)/351.1394*10^6</f>
        <v>-1.7087230882181677</v>
      </c>
      <c r="O145" s="15">
        <f>(351.13901-351.14)/351.13901*10^6</f>
        <v>-2.8193962271568767</v>
      </c>
      <c r="P145" s="15">
        <f>(351.13931-351.14)/351.13931*10^6</f>
        <v>-1.9650320551214273</v>
      </c>
      <c r="Q145" s="15">
        <f>(351.13919-351.14)/351.13919*10^6</f>
        <v>-2.3067775488156412</v>
      </c>
      <c r="R145" s="15">
        <f>(351.13919-351.14)/351.13919*10^6</f>
        <v>-2.3067775488156412</v>
      </c>
      <c r="S145" s="15">
        <f>(351.1391-351.14)/351.1391*10^6</f>
        <v>-2.5630868222919498</v>
      </c>
      <c r="T145" s="15">
        <f>(351.1394-351.14)/351.1394*10^6</f>
        <v>-1.7087230882181677</v>
      </c>
      <c r="U145" s="15">
        <f>(351.13919-351.14)/351.13919*10^6</f>
        <v>-2.3067775488156412</v>
      </c>
      <c r="V145" s="15">
        <f>(351.1391-351.14)/351.1391*10^6</f>
        <v>-2.5630868222919498</v>
      </c>
      <c r="W145" s="20" t="s">
        <v>564</v>
      </c>
      <c r="X145" s="20" t="s">
        <v>564</v>
      </c>
      <c r="Y145" s="20" t="s">
        <v>564</v>
      </c>
      <c r="Z145" s="26" t="s">
        <v>3</v>
      </c>
      <c r="AA145" s="29" t="s">
        <v>3</v>
      </c>
      <c r="AB145" s="29" t="s">
        <v>3</v>
      </c>
      <c r="AC145" s="27" t="s">
        <v>3</v>
      </c>
      <c r="AD145" s="27" t="s">
        <v>3</v>
      </c>
      <c r="AE145" s="21" t="s">
        <v>3</v>
      </c>
      <c r="AF145" s="21" t="s">
        <v>3</v>
      </c>
      <c r="AG145" s="21" t="s">
        <v>3</v>
      </c>
      <c r="AH145" s="21" t="s">
        <v>3</v>
      </c>
      <c r="AI145" s="22" t="s">
        <v>3</v>
      </c>
      <c r="AJ145" s="22" t="s">
        <v>564</v>
      </c>
      <c r="AK145" s="22" t="s">
        <v>3</v>
      </c>
      <c r="AL145" s="22" t="s">
        <v>3</v>
      </c>
      <c r="AM145" s="22" t="s">
        <v>564</v>
      </c>
      <c r="AN145" s="65" t="s">
        <v>564</v>
      </c>
      <c r="AO145" s="65" t="s">
        <v>564</v>
      </c>
      <c r="AP145" s="65" t="s">
        <v>564</v>
      </c>
      <c r="AQ145" s="65" t="s">
        <v>564</v>
      </c>
      <c r="AR145" s="65" t="s">
        <v>564</v>
      </c>
      <c r="AS145" s="46" t="s">
        <v>3</v>
      </c>
      <c r="AT145" s="46" t="s">
        <v>3</v>
      </c>
      <c r="AU145" s="46" t="s">
        <v>3</v>
      </c>
      <c r="AV145" s="46" t="s">
        <v>3</v>
      </c>
      <c r="AW145" s="53" t="s">
        <v>3</v>
      </c>
      <c r="AX145" s="53" t="s">
        <v>3</v>
      </c>
      <c r="AY145" s="57" t="s">
        <v>3</v>
      </c>
      <c r="AZ145" s="57" t="s">
        <v>3</v>
      </c>
      <c r="BA145" s="121" t="s">
        <v>3</v>
      </c>
    </row>
    <row r="146" spans="1:53" x14ac:dyDescent="0.25">
      <c r="A146" s="38">
        <v>143</v>
      </c>
      <c r="B146" s="139" t="s">
        <v>38</v>
      </c>
      <c r="C146" s="38" t="s">
        <v>139</v>
      </c>
      <c r="D146" s="38" t="s">
        <v>257</v>
      </c>
      <c r="E146" s="48">
        <v>255.13905299999999</v>
      </c>
      <c r="F146" s="23" t="s">
        <v>564</v>
      </c>
      <c r="G146" s="23" t="s">
        <v>564</v>
      </c>
      <c r="H146" s="23" t="s">
        <v>564</v>
      </c>
      <c r="I146" s="25" t="s">
        <v>3</v>
      </c>
      <c r="J146" s="25" t="s">
        <v>3</v>
      </c>
      <c r="K146" s="117" t="s">
        <v>3</v>
      </c>
      <c r="L146" s="15" t="s">
        <v>3</v>
      </c>
      <c r="M146" s="15" t="s">
        <v>3</v>
      </c>
      <c r="N146" s="15" t="s">
        <v>3</v>
      </c>
      <c r="O146" s="15" t="s">
        <v>3</v>
      </c>
      <c r="P146" s="15" t="s">
        <v>3</v>
      </c>
      <c r="Q146" s="15" t="s">
        <v>3</v>
      </c>
      <c r="R146" s="15" t="s">
        <v>3</v>
      </c>
      <c r="S146" s="15" t="s">
        <v>3</v>
      </c>
      <c r="T146" s="15" t="s">
        <v>3</v>
      </c>
      <c r="U146" s="15" t="s">
        <v>3</v>
      </c>
      <c r="V146" s="15" t="s">
        <v>3</v>
      </c>
      <c r="W146" s="20" t="s">
        <v>564</v>
      </c>
      <c r="X146" s="20" t="s">
        <v>564</v>
      </c>
      <c r="Y146" s="20" t="s">
        <v>564</v>
      </c>
      <c r="Z146" s="26" t="s">
        <v>3</v>
      </c>
      <c r="AA146" s="29" t="s">
        <v>3</v>
      </c>
      <c r="AB146" s="29" t="s">
        <v>3</v>
      </c>
      <c r="AC146" s="27" t="s">
        <v>3</v>
      </c>
      <c r="AD146" s="27" t="s">
        <v>3</v>
      </c>
      <c r="AE146" s="21" t="s">
        <v>3</v>
      </c>
      <c r="AF146" s="21" t="s">
        <v>3</v>
      </c>
      <c r="AG146" s="21" t="s">
        <v>3</v>
      </c>
      <c r="AH146" s="21" t="s">
        <v>3</v>
      </c>
      <c r="AI146" s="22" t="s">
        <v>3</v>
      </c>
      <c r="AJ146" s="22" t="s">
        <v>564</v>
      </c>
      <c r="AK146" s="22" t="s">
        <v>3</v>
      </c>
      <c r="AL146" s="22" t="s">
        <v>3</v>
      </c>
      <c r="AM146" s="22" t="s">
        <v>564</v>
      </c>
      <c r="AN146" s="65" t="s">
        <v>564</v>
      </c>
      <c r="AO146" s="65" t="s">
        <v>564</v>
      </c>
      <c r="AP146" s="65" t="s">
        <v>564</v>
      </c>
      <c r="AQ146" s="65" t="s">
        <v>564</v>
      </c>
      <c r="AR146" s="65" t="s">
        <v>564</v>
      </c>
      <c r="AS146" s="46" t="s">
        <v>3</v>
      </c>
      <c r="AT146" s="46" t="s">
        <v>3</v>
      </c>
      <c r="AU146" s="46" t="s">
        <v>3</v>
      </c>
      <c r="AV146" s="46" t="s">
        <v>3</v>
      </c>
      <c r="AW146" s="53" t="s">
        <v>3</v>
      </c>
      <c r="AX146" s="53" t="s">
        <v>3</v>
      </c>
      <c r="AY146" s="57" t="s">
        <v>3</v>
      </c>
      <c r="AZ146" s="57" t="s">
        <v>3</v>
      </c>
      <c r="BA146" s="121" t="s">
        <v>3</v>
      </c>
    </row>
    <row r="147" spans="1:53" x14ac:dyDescent="0.25">
      <c r="A147" s="38">
        <v>144</v>
      </c>
      <c r="B147" s="139" t="s">
        <v>39</v>
      </c>
      <c r="C147" s="38" t="s">
        <v>139</v>
      </c>
      <c r="D147" s="38" t="s">
        <v>258</v>
      </c>
      <c r="E147" s="48">
        <v>213.09210300000001</v>
      </c>
      <c r="F147" s="23" t="s">
        <v>564</v>
      </c>
      <c r="G147" s="23" t="s">
        <v>564</v>
      </c>
      <c r="H147" s="23" t="s">
        <v>564</v>
      </c>
      <c r="I147" s="25" t="s">
        <v>3</v>
      </c>
      <c r="J147" s="25" t="s">
        <v>3</v>
      </c>
      <c r="K147" s="117" t="s">
        <v>3</v>
      </c>
      <c r="L147" s="15" t="s">
        <v>3</v>
      </c>
      <c r="M147" s="15">
        <f>(213.0918-213.0921)/213.0918*10^6</f>
        <v>-1.4078439432279293</v>
      </c>
      <c r="N147" s="15">
        <f>(213.09171-213.0921)/213.09171*10^6</f>
        <v>-1.8301978992128918</v>
      </c>
      <c r="O147" s="15">
        <f>(213.0919-213.0921)/213.0919*10^6</f>
        <v>-0.93856218832446281</v>
      </c>
      <c r="P147" s="15">
        <f>(213.0918-213.0921)/213.0918*10^6</f>
        <v>-1.4078439432279293</v>
      </c>
      <c r="Q147" s="15">
        <f>(213.0918-213.0921)/213.0918*10^6</f>
        <v>-1.4078439432279293</v>
      </c>
      <c r="R147" s="15">
        <f>(213.09171-213.0921)/213.09171*10^6</f>
        <v>-1.8301978992128918</v>
      </c>
      <c r="S147" s="15">
        <f>(213.0918-213.0921)/213.0918*10^6</f>
        <v>-1.4078439432279293</v>
      </c>
      <c r="T147" s="15">
        <f>(213.0918-213.0921)/213.0918*10^6</f>
        <v>-1.4078439432279293</v>
      </c>
      <c r="U147" s="15">
        <f>(213.09171-213.0921)/213.09171*10^6</f>
        <v>-1.8301978992128918</v>
      </c>
      <c r="V147" s="15">
        <f>(213.0916-213.0921)/213.0916*10^6</f>
        <v>-2.3464087743870552</v>
      </c>
      <c r="W147" s="20" t="s">
        <v>564</v>
      </c>
      <c r="X147" s="20" t="s">
        <v>564</v>
      </c>
      <c r="Y147" s="20" t="s">
        <v>564</v>
      </c>
      <c r="Z147" s="26" t="s">
        <v>3</v>
      </c>
      <c r="AA147" s="29" t="s">
        <v>3</v>
      </c>
      <c r="AB147" s="29" t="s">
        <v>3</v>
      </c>
      <c r="AC147" s="27" t="s">
        <v>3</v>
      </c>
      <c r="AD147" s="27" t="s">
        <v>3</v>
      </c>
      <c r="AE147" s="21" t="s">
        <v>3</v>
      </c>
      <c r="AF147" s="21" t="s">
        <v>3</v>
      </c>
      <c r="AG147" s="21" t="s">
        <v>3</v>
      </c>
      <c r="AH147" s="21" t="s">
        <v>3</v>
      </c>
      <c r="AI147" s="22" t="s">
        <v>3</v>
      </c>
      <c r="AJ147" s="22" t="s">
        <v>564</v>
      </c>
      <c r="AK147" s="22" t="s">
        <v>3</v>
      </c>
      <c r="AL147" s="22" t="s">
        <v>3</v>
      </c>
      <c r="AM147" s="22" t="s">
        <v>564</v>
      </c>
      <c r="AN147" s="65" t="s">
        <v>564</v>
      </c>
      <c r="AO147" s="65" t="s">
        <v>564</v>
      </c>
      <c r="AP147" s="65" t="s">
        <v>564</v>
      </c>
      <c r="AQ147" s="65" t="s">
        <v>564</v>
      </c>
      <c r="AR147" s="65" t="s">
        <v>564</v>
      </c>
      <c r="AS147" s="46" t="s">
        <v>3</v>
      </c>
      <c r="AT147" s="46" t="s">
        <v>3</v>
      </c>
      <c r="AU147" s="46" t="s">
        <v>3</v>
      </c>
      <c r="AV147" s="46" t="s">
        <v>3</v>
      </c>
      <c r="AW147" s="53" t="s">
        <v>3</v>
      </c>
      <c r="AX147" s="53" t="s">
        <v>3</v>
      </c>
      <c r="AY147" s="57" t="s">
        <v>3</v>
      </c>
      <c r="AZ147" s="57" t="s">
        <v>3</v>
      </c>
      <c r="BA147" s="121" t="s">
        <v>3</v>
      </c>
    </row>
    <row r="148" spans="1:53" x14ac:dyDescent="0.25">
      <c r="A148" s="38">
        <v>145</v>
      </c>
      <c r="B148" s="139" t="s">
        <v>272</v>
      </c>
      <c r="C148" s="38" t="s">
        <v>139</v>
      </c>
      <c r="D148" s="38" t="s">
        <v>259</v>
      </c>
      <c r="E148" s="48">
        <v>199.07645299999999</v>
      </c>
      <c r="F148" s="23" t="s">
        <v>564</v>
      </c>
      <c r="G148" s="23" t="s">
        <v>564</v>
      </c>
      <c r="H148" s="23" t="s">
        <v>564</v>
      </c>
      <c r="I148" s="25" t="s">
        <v>3</v>
      </c>
      <c r="J148" s="25" t="s">
        <v>3</v>
      </c>
      <c r="K148" s="117" t="s">
        <v>3</v>
      </c>
      <c r="L148" s="15">
        <f>(199.07561-199.0765)/199.07561*10^6</f>
        <v>-4.4706631816839897</v>
      </c>
      <c r="M148" s="15">
        <f>(199.0764-199.0765)/199.0764*10^6</f>
        <v>-0.50231971244868623</v>
      </c>
      <c r="N148" s="15">
        <f>(199.0762-199.0765)/199.0762*10^6</f>
        <v>-1.5069606512981411</v>
      </c>
      <c r="O148" s="15">
        <f>(199.0761-199.0765)/199.0761*10^6</f>
        <v>-2.0092818777004302</v>
      </c>
      <c r="P148" s="15">
        <f>(199.07629-199.0765)/199.07629*10^6</f>
        <v>-1.0548719790278061</v>
      </c>
      <c r="Q148" s="15">
        <f>(199.07629-199.0765)/199.07629*10^6</f>
        <v>-1.0548719790278061</v>
      </c>
      <c r="R148" s="15">
        <f>(199.0762-199.0765)/199.0762*10^6</f>
        <v>-1.5069606512981411</v>
      </c>
      <c r="S148" s="15">
        <f>(199.076-199.0765)/199.076*10^6</f>
        <v>-2.5116036087554416</v>
      </c>
      <c r="T148" s="15">
        <f>(199.0764-199.0765)/199.0764*10^6</f>
        <v>-0.50231971244868623</v>
      </c>
      <c r="U148" s="15">
        <f>(199.076-199.0765)/199.076*10^6</f>
        <v>-2.5116036087554416</v>
      </c>
      <c r="V148" s="15">
        <f>(199.0759-199.0765)/199.0759*10^6</f>
        <v>-3.0139258444639352</v>
      </c>
      <c r="W148" s="20" t="s">
        <v>564</v>
      </c>
      <c r="X148" s="20" t="s">
        <v>564</v>
      </c>
      <c r="Y148" s="20" t="s">
        <v>564</v>
      </c>
      <c r="Z148" s="26" t="s">
        <v>3</v>
      </c>
      <c r="AA148" s="29" t="s">
        <v>3</v>
      </c>
      <c r="AB148" s="29" t="s">
        <v>3</v>
      </c>
      <c r="AC148" s="27" t="s">
        <v>3</v>
      </c>
      <c r="AD148" s="27" t="s">
        <v>3</v>
      </c>
      <c r="AE148" s="21" t="s">
        <v>3</v>
      </c>
      <c r="AF148" s="21" t="s">
        <v>3</v>
      </c>
      <c r="AG148" s="21" t="s">
        <v>3</v>
      </c>
      <c r="AH148" s="21" t="s">
        <v>3</v>
      </c>
      <c r="AI148" s="22" t="s">
        <v>3</v>
      </c>
      <c r="AJ148" s="22" t="s">
        <v>564</v>
      </c>
      <c r="AK148" s="22" t="s">
        <v>3</v>
      </c>
      <c r="AL148" s="22" t="s">
        <v>3</v>
      </c>
      <c r="AM148" s="22" t="s">
        <v>564</v>
      </c>
      <c r="AN148" s="65" t="s">
        <v>564</v>
      </c>
      <c r="AO148" s="65" t="s">
        <v>564</v>
      </c>
      <c r="AP148" s="65" t="s">
        <v>564</v>
      </c>
      <c r="AQ148" s="65" t="s">
        <v>564</v>
      </c>
      <c r="AR148" s="65" t="s">
        <v>564</v>
      </c>
      <c r="AS148" s="46" t="s">
        <v>3</v>
      </c>
      <c r="AT148" s="46" t="s">
        <v>3</v>
      </c>
      <c r="AU148" s="46" t="s">
        <v>3</v>
      </c>
      <c r="AV148" s="46" t="s">
        <v>3</v>
      </c>
      <c r="AW148" s="53" t="s">
        <v>3</v>
      </c>
      <c r="AX148" s="53" t="s">
        <v>3</v>
      </c>
      <c r="AY148" s="57" t="s">
        <v>3</v>
      </c>
      <c r="AZ148" s="57" t="s">
        <v>3</v>
      </c>
      <c r="BA148" s="121" t="s">
        <v>3</v>
      </c>
    </row>
    <row r="149" spans="1:53" x14ac:dyDescent="0.25">
      <c r="A149" s="38">
        <v>146</v>
      </c>
      <c r="B149" s="139" t="s">
        <v>273</v>
      </c>
      <c r="C149" s="38" t="s">
        <v>139</v>
      </c>
      <c r="D149" s="38" t="s">
        <v>259</v>
      </c>
      <c r="E149" s="48">
        <v>199.07645299999999</v>
      </c>
      <c r="F149" s="23" t="s">
        <v>564</v>
      </c>
      <c r="G149" s="23" t="s">
        <v>564</v>
      </c>
      <c r="H149" s="23" t="s">
        <v>564</v>
      </c>
      <c r="I149" s="25" t="s">
        <v>3</v>
      </c>
      <c r="J149" s="25" t="s">
        <v>3</v>
      </c>
      <c r="K149" s="117" t="s">
        <v>3</v>
      </c>
      <c r="L149" s="15">
        <f>(199.07561-199.0765)/199.07561*10^6</f>
        <v>-4.4706631816839897</v>
      </c>
      <c r="M149" s="15">
        <f>(199.0764-199.0765)/199.0764*10^6</f>
        <v>-0.50231971244868623</v>
      </c>
      <c r="N149" s="15">
        <f>(199.0762-199.0765)/199.0762*10^6</f>
        <v>-1.5069606512981411</v>
      </c>
      <c r="O149" s="15">
        <f>(199.0761-199.0765)/199.0761*10^6</f>
        <v>-2.0092818777004302</v>
      </c>
      <c r="P149" s="15">
        <f>(199.07629-199.0765)/199.07629*10^6</f>
        <v>-1.0548719790278061</v>
      </c>
      <c r="Q149" s="15">
        <f>(199.07629-199.0765)/199.07629*10^6</f>
        <v>-1.0548719790278061</v>
      </c>
      <c r="R149" s="15">
        <f>(199.0762-199.0765)/199.0762*10^6</f>
        <v>-1.5069606512981411</v>
      </c>
      <c r="S149" s="15">
        <f>(199.076-199.0765)/199.076*10^6</f>
        <v>-2.5116036087554416</v>
      </c>
      <c r="T149" s="15">
        <f>(199.0764-199.0765)/199.0764*10^6</f>
        <v>-0.50231971244868623</v>
      </c>
      <c r="U149" s="15">
        <f>(199.076-199.0765)/199.076*10^6</f>
        <v>-2.5116036087554416</v>
      </c>
      <c r="V149" s="15">
        <f>(199.0759-199.0765)/199.0759*10^6</f>
        <v>-3.0139258444639352</v>
      </c>
      <c r="W149" s="20" t="s">
        <v>564</v>
      </c>
      <c r="X149" s="20" t="s">
        <v>564</v>
      </c>
      <c r="Y149" s="20" t="s">
        <v>564</v>
      </c>
      <c r="Z149" s="26" t="s">
        <v>3</v>
      </c>
      <c r="AA149" s="29" t="s">
        <v>3</v>
      </c>
      <c r="AB149" s="29" t="s">
        <v>3</v>
      </c>
      <c r="AC149" s="27" t="s">
        <v>3</v>
      </c>
      <c r="AD149" s="27" t="s">
        <v>3</v>
      </c>
      <c r="AE149" s="21" t="s">
        <v>3</v>
      </c>
      <c r="AF149" s="21" t="s">
        <v>3</v>
      </c>
      <c r="AG149" s="21" t="s">
        <v>3</v>
      </c>
      <c r="AH149" s="21" t="s">
        <v>3</v>
      </c>
      <c r="AI149" s="22" t="s">
        <v>3</v>
      </c>
      <c r="AJ149" s="22" t="s">
        <v>564</v>
      </c>
      <c r="AK149" s="22" t="s">
        <v>3</v>
      </c>
      <c r="AL149" s="22" t="s">
        <v>3</v>
      </c>
      <c r="AM149" s="22" t="s">
        <v>564</v>
      </c>
      <c r="AN149" s="65" t="s">
        <v>564</v>
      </c>
      <c r="AO149" s="65" t="s">
        <v>564</v>
      </c>
      <c r="AP149" s="65" t="s">
        <v>564</v>
      </c>
      <c r="AQ149" s="65" t="s">
        <v>564</v>
      </c>
      <c r="AR149" s="65" t="s">
        <v>564</v>
      </c>
      <c r="AS149" s="46" t="s">
        <v>3</v>
      </c>
      <c r="AT149" s="46" t="s">
        <v>3</v>
      </c>
      <c r="AU149" s="46" t="s">
        <v>3</v>
      </c>
      <c r="AV149" s="46" t="s">
        <v>3</v>
      </c>
      <c r="AW149" s="53" t="s">
        <v>3</v>
      </c>
      <c r="AX149" s="53" t="s">
        <v>3</v>
      </c>
      <c r="AY149" s="57" t="s">
        <v>3</v>
      </c>
      <c r="AZ149" s="57" t="s">
        <v>3</v>
      </c>
      <c r="BA149" s="121" t="s">
        <v>3</v>
      </c>
    </row>
    <row r="150" spans="1:53" x14ac:dyDescent="0.25">
      <c r="A150" s="38">
        <v>147</v>
      </c>
      <c r="B150" s="139" t="s">
        <v>40</v>
      </c>
      <c r="C150" s="38" t="s">
        <v>139</v>
      </c>
      <c r="D150" s="38" t="s">
        <v>260</v>
      </c>
      <c r="E150" s="48">
        <v>349.123403</v>
      </c>
      <c r="F150" s="23" t="s">
        <v>564</v>
      </c>
      <c r="G150" s="23" t="s">
        <v>564</v>
      </c>
      <c r="H150" s="23" t="s">
        <v>564</v>
      </c>
      <c r="I150" s="25" t="s">
        <v>3</v>
      </c>
      <c r="J150" s="25" t="s">
        <v>3</v>
      </c>
      <c r="K150" s="117" t="s">
        <v>3</v>
      </c>
      <c r="L150" s="15" t="s">
        <v>3</v>
      </c>
      <c r="M150" s="15">
        <f>(349.12341-349.1234)/349.1234*10^6</f>
        <v>2.8643167357880986E-2</v>
      </c>
      <c r="N150" s="15">
        <f>(349.12329-349.1234)/349.12329*10^6</f>
        <v>-0.31507494102296585</v>
      </c>
      <c r="O150" s="15">
        <f>(349.1235-349.1234)/349.1234*10^6</f>
        <v>0.28643167423008009</v>
      </c>
      <c r="P150" s="15">
        <f>(349.1235-349.1234)/349.1234*10^6</f>
        <v>0.28643167423008009</v>
      </c>
      <c r="Q150" s="15">
        <f>(349.1235-349.1234)/349.1234*10^6</f>
        <v>0.28643167423008009</v>
      </c>
      <c r="R150" s="15">
        <f>(349.1235-349.1234)/349.1234*10^6</f>
        <v>0.28643167423008009</v>
      </c>
      <c r="S150" s="15" t="s">
        <v>3</v>
      </c>
      <c r="T150" s="15">
        <f>(349.1236-349.1234)/349.1234*10^6</f>
        <v>0.57286334862297783</v>
      </c>
      <c r="U150" s="15">
        <f>(349.1232-349.1234)/349.1232*10^6</f>
        <v>-0.57286367679558192</v>
      </c>
      <c r="V150" s="15">
        <v>0</v>
      </c>
      <c r="W150" s="20" t="s">
        <v>564</v>
      </c>
      <c r="X150" s="20" t="s">
        <v>564</v>
      </c>
      <c r="Y150" s="20" t="s">
        <v>564</v>
      </c>
      <c r="Z150" s="26" t="s">
        <v>3</v>
      </c>
      <c r="AA150" s="29" t="s">
        <v>3</v>
      </c>
      <c r="AB150" s="29" t="s">
        <v>3</v>
      </c>
      <c r="AC150" s="27" t="s">
        <v>3</v>
      </c>
      <c r="AD150" s="27" t="s">
        <v>3</v>
      </c>
      <c r="AE150" s="21" t="s">
        <v>3</v>
      </c>
      <c r="AF150" s="21" t="s">
        <v>3</v>
      </c>
      <c r="AG150" s="21" t="s">
        <v>3</v>
      </c>
      <c r="AH150" s="21" t="s">
        <v>3</v>
      </c>
      <c r="AI150" s="22" t="s">
        <v>3</v>
      </c>
      <c r="AJ150" s="22" t="s">
        <v>564</v>
      </c>
      <c r="AK150" s="22" t="s">
        <v>3</v>
      </c>
      <c r="AL150" s="22" t="s">
        <v>3</v>
      </c>
      <c r="AM150" s="22" t="s">
        <v>564</v>
      </c>
      <c r="AN150" s="65" t="s">
        <v>564</v>
      </c>
      <c r="AO150" s="65" t="s">
        <v>564</v>
      </c>
      <c r="AP150" s="65" t="s">
        <v>564</v>
      </c>
      <c r="AQ150" s="65" t="s">
        <v>564</v>
      </c>
      <c r="AR150" s="65" t="s">
        <v>564</v>
      </c>
      <c r="AS150" s="46" t="s">
        <v>3</v>
      </c>
      <c r="AT150" s="46" t="s">
        <v>3</v>
      </c>
      <c r="AU150" s="46" t="s">
        <v>3</v>
      </c>
      <c r="AV150" s="46" t="s">
        <v>3</v>
      </c>
      <c r="AW150" s="53" t="s">
        <v>3</v>
      </c>
      <c r="AX150" s="53" t="s">
        <v>3</v>
      </c>
      <c r="AY150" s="57" t="s">
        <v>3</v>
      </c>
      <c r="AZ150" s="57" t="s">
        <v>3</v>
      </c>
      <c r="BA150" s="121" t="s">
        <v>3</v>
      </c>
    </row>
    <row r="151" spans="1:53" x14ac:dyDescent="0.25">
      <c r="A151" s="38">
        <v>148</v>
      </c>
      <c r="B151" s="139" t="s">
        <v>41</v>
      </c>
      <c r="C151" s="38" t="s">
        <v>139</v>
      </c>
      <c r="D151" s="38" t="s">
        <v>261</v>
      </c>
      <c r="E151" s="48">
        <v>311.20165400000002</v>
      </c>
      <c r="F151" s="23" t="s">
        <v>564</v>
      </c>
      <c r="G151" s="23" t="s">
        <v>564</v>
      </c>
      <c r="H151" s="23" t="s">
        <v>564</v>
      </c>
      <c r="I151" s="25" t="s">
        <v>3</v>
      </c>
      <c r="J151" s="25" t="s">
        <v>3</v>
      </c>
      <c r="K151" s="117" t="s">
        <v>3</v>
      </c>
      <c r="L151" s="16" t="s">
        <v>3</v>
      </c>
      <c r="M151" s="16" t="s">
        <v>3</v>
      </c>
      <c r="N151" s="16" t="s">
        <v>3</v>
      </c>
      <c r="O151" s="16" t="s">
        <v>3</v>
      </c>
      <c r="P151" s="16" t="s">
        <v>3</v>
      </c>
      <c r="Q151" s="16" t="s">
        <v>3</v>
      </c>
      <c r="R151" s="16" t="s">
        <v>3</v>
      </c>
      <c r="S151" s="16" t="s">
        <v>3</v>
      </c>
      <c r="T151" s="16" t="s">
        <v>3</v>
      </c>
      <c r="U151" s="16" t="s">
        <v>3</v>
      </c>
      <c r="V151" s="16" t="s">
        <v>3</v>
      </c>
      <c r="W151" s="20" t="s">
        <v>564</v>
      </c>
      <c r="X151" s="20" t="s">
        <v>564</v>
      </c>
      <c r="Y151" s="20" t="s">
        <v>564</v>
      </c>
      <c r="Z151" s="17" t="s">
        <v>3</v>
      </c>
      <c r="AA151" s="18" t="s">
        <v>3</v>
      </c>
      <c r="AB151" s="18" t="s">
        <v>3</v>
      </c>
      <c r="AC151" s="19" t="s">
        <v>3</v>
      </c>
      <c r="AD151" s="19" t="s">
        <v>3</v>
      </c>
      <c r="AE151" s="21" t="s">
        <v>3</v>
      </c>
      <c r="AF151" s="21" t="s">
        <v>3</v>
      </c>
      <c r="AG151" s="21">
        <f>(311.20194-E151)/E151*10^6</f>
        <v>0.91901825161906248</v>
      </c>
      <c r="AH151" s="21" t="s">
        <v>3</v>
      </c>
      <c r="AI151" s="22" t="s">
        <v>3</v>
      </c>
      <c r="AJ151" s="22" t="s">
        <v>564</v>
      </c>
      <c r="AK151" s="22" t="s">
        <v>3</v>
      </c>
      <c r="AL151" s="22" t="s">
        <v>3</v>
      </c>
      <c r="AM151" s="22" t="s">
        <v>564</v>
      </c>
      <c r="AN151" s="65" t="s">
        <v>564</v>
      </c>
      <c r="AO151" s="65" t="s">
        <v>564</v>
      </c>
      <c r="AP151" s="65" t="s">
        <v>564</v>
      </c>
      <c r="AQ151" s="65" t="s">
        <v>564</v>
      </c>
      <c r="AR151" s="65" t="s">
        <v>564</v>
      </c>
      <c r="AS151" s="46" t="s">
        <v>3</v>
      </c>
      <c r="AT151" s="46" t="s">
        <v>3</v>
      </c>
      <c r="AU151" s="46" t="s">
        <v>3</v>
      </c>
      <c r="AV151" s="46" t="s">
        <v>3</v>
      </c>
      <c r="AW151" s="53" t="s">
        <v>3</v>
      </c>
      <c r="AX151" s="53" t="s">
        <v>3</v>
      </c>
      <c r="AY151" s="57" t="s">
        <v>3</v>
      </c>
      <c r="AZ151" s="57" t="s">
        <v>3</v>
      </c>
      <c r="BA151" s="121" t="s">
        <v>3</v>
      </c>
    </row>
    <row r="152" spans="1:53" x14ac:dyDescent="0.25">
      <c r="A152" s="38">
        <v>149</v>
      </c>
      <c r="B152" s="139" t="s">
        <v>42</v>
      </c>
      <c r="C152" s="38" t="s">
        <v>139</v>
      </c>
      <c r="D152" s="38" t="s">
        <v>262</v>
      </c>
      <c r="E152" s="48">
        <v>345.18600400000003</v>
      </c>
      <c r="F152" s="23" t="s">
        <v>564</v>
      </c>
      <c r="G152" s="23" t="s">
        <v>564</v>
      </c>
      <c r="H152" s="23" t="s">
        <v>564</v>
      </c>
      <c r="I152" s="25" t="s">
        <v>3</v>
      </c>
      <c r="J152" s="25" t="s">
        <v>3</v>
      </c>
      <c r="K152" s="117" t="s">
        <v>3</v>
      </c>
      <c r="L152" s="15" t="s">
        <v>3</v>
      </c>
      <c r="M152" s="15" t="s">
        <v>3</v>
      </c>
      <c r="N152" s="15" t="s">
        <v>3</v>
      </c>
      <c r="O152" s="15" t="s">
        <v>3</v>
      </c>
      <c r="P152" s="15" t="s">
        <v>3</v>
      </c>
      <c r="Q152" s="15" t="s">
        <v>3</v>
      </c>
      <c r="R152" s="15" t="s">
        <v>3</v>
      </c>
      <c r="S152" s="15" t="s">
        <v>3</v>
      </c>
      <c r="T152" s="15" t="s">
        <v>3</v>
      </c>
      <c r="U152" s="15" t="s">
        <v>3</v>
      </c>
      <c r="V152" s="15" t="s">
        <v>3</v>
      </c>
      <c r="W152" s="20" t="s">
        <v>564</v>
      </c>
      <c r="X152" s="20" t="s">
        <v>564</v>
      </c>
      <c r="Y152" s="20" t="s">
        <v>564</v>
      </c>
      <c r="Z152" s="26" t="s">
        <v>3</v>
      </c>
      <c r="AA152" s="29" t="s">
        <v>3</v>
      </c>
      <c r="AB152" s="29" t="s">
        <v>3</v>
      </c>
      <c r="AC152" s="27" t="s">
        <v>3</v>
      </c>
      <c r="AD152" s="27" t="s">
        <v>3</v>
      </c>
      <c r="AE152" s="21" t="s">
        <v>3</v>
      </c>
      <c r="AF152" s="21" t="s">
        <v>3</v>
      </c>
      <c r="AG152" s="21" t="s">
        <v>3</v>
      </c>
      <c r="AH152" s="21" t="s">
        <v>3</v>
      </c>
      <c r="AI152" s="22" t="s">
        <v>3</v>
      </c>
      <c r="AJ152" s="22" t="s">
        <v>564</v>
      </c>
      <c r="AK152" s="22" t="s">
        <v>3</v>
      </c>
      <c r="AL152" s="22" t="s">
        <v>3</v>
      </c>
      <c r="AM152" s="22" t="s">
        <v>564</v>
      </c>
      <c r="AN152" s="65" t="s">
        <v>564</v>
      </c>
      <c r="AO152" s="65" t="s">
        <v>564</v>
      </c>
      <c r="AP152" s="65" t="s">
        <v>564</v>
      </c>
      <c r="AQ152" s="65" t="s">
        <v>564</v>
      </c>
      <c r="AR152" s="65" t="s">
        <v>564</v>
      </c>
      <c r="AS152" s="46" t="s">
        <v>3</v>
      </c>
      <c r="AT152" s="46" t="s">
        <v>3</v>
      </c>
      <c r="AU152" s="46" t="s">
        <v>3</v>
      </c>
      <c r="AV152" s="46" t="s">
        <v>3</v>
      </c>
      <c r="AW152" s="53" t="s">
        <v>3</v>
      </c>
      <c r="AX152" s="53" t="s">
        <v>3</v>
      </c>
      <c r="AY152" s="57" t="s">
        <v>3</v>
      </c>
      <c r="AZ152" s="57" t="s">
        <v>3</v>
      </c>
      <c r="BA152" s="121" t="s">
        <v>3</v>
      </c>
    </row>
    <row r="153" spans="1:53" x14ac:dyDescent="0.25">
      <c r="A153" s="38">
        <v>150</v>
      </c>
      <c r="B153" s="139" t="s">
        <v>43</v>
      </c>
      <c r="C153" s="38" t="s">
        <v>139</v>
      </c>
      <c r="D153" s="38" t="s">
        <v>262</v>
      </c>
      <c r="E153" s="48">
        <v>345.18600400000003</v>
      </c>
      <c r="F153" s="23" t="s">
        <v>564</v>
      </c>
      <c r="G153" s="23" t="s">
        <v>564</v>
      </c>
      <c r="H153" s="23" t="s">
        <v>564</v>
      </c>
      <c r="I153" s="25" t="s">
        <v>3</v>
      </c>
      <c r="J153" s="25" t="s">
        <v>3</v>
      </c>
      <c r="K153" s="117" t="s">
        <v>3</v>
      </c>
      <c r="L153" s="15" t="s">
        <v>3</v>
      </c>
      <c r="M153" s="15" t="s">
        <v>3</v>
      </c>
      <c r="N153" s="15" t="s">
        <v>3</v>
      </c>
      <c r="O153" s="15" t="s">
        <v>3</v>
      </c>
      <c r="P153" s="15" t="s">
        <v>3</v>
      </c>
      <c r="Q153" s="15" t="s">
        <v>3</v>
      </c>
      <c r="R153" s="15" t="s">
        <v>3</v>
      </c>
      <c r="S153" s="15" t="s">
        <v>3</v>
      </c>
      <c r="T153" s="15" t="s">
        <v>3</v>
      </c>
      <c r="U153" s="15" t="s">
        <v>3</v>
      </c>
      <c r="V153" s="15" t="s">
        <v>3</v>
      </c>
      <c r="W153" s="20" t="s">
        <v>564</v>
      </c>
      <c r="X153" s="20" t="s">
        <v>564</v>
      </c>
      <c r="Y153" s="20" t="s">
        <v>564</v>
      </c>
      <c r="Z153" s="26" t="s">
        <v>3</v>
      </c>
      <c r="AA153" s="29" t="s">
        <v>3</v>
      </c>
      <c r="AB153" s="29" t="s">
        <v>3</v>
      </c>
      <c r="AC153" s="27" t="s">
        <v>3</v>
      </c>
      <c r="AD153" s="27" t="s">
        <v>3</v>
      </c>
      <c r="AE153" s="21" t="s">
        <v>3</v>
      </c>
      <c r="AF153" s="21" t="s">
        <v>3</v>
      </c>
      <c r="AG153" s="21" t="s">
        <v>3</v>
      </c>
      <c r="AH153" s="21" t="s">
        <v>3</v>
      </c>
      <c r="AI153" s="22" t="s">
        <v>3</v>
      </c>
      <c r="AJ153" s="22" t="s">
        <v>564</v>
      </c>
      <c r="AK153" s="22" t="s">
        <v>3</v>
      </c>
      <c r="AL153" s="22" t="s">
        <v>3</v>
      </c>
      <c r="AM153" s="22" t="s">
        <v>564</v>
      </c>
      <c r="AN153" s="65" t="s">
        <v>564</v>
      </c>
      <c r="AO153" s="65" t="s">
        <v>564</v>
      </c>
      <c r="AP153" s="65" t="s">
        <v>564</v>
      </c>
      <c r="AQ153" s="65" t="s">
        <v>564</v>
      </c>
      <c r="AR153" s="65" t="s">
        <v>564</v>
      </c>
      <c r="AS153" s="46" t="s">
        <v>3</v>
      </c>
      <c r="AT153" s="46" t="s">
        <v>3</v>
      </c>
      <c r="AU153" s="46" t="s">
        <v>3</v>
      </c>
      <c r="AV153" s="46" t="s">
        <v>3</v>
      </c>
      <c r="AW153" s="53" t="s">
        <v>3</v>
      </c>
      <c r="AX153" s="53" t="s">
        <v>3</v>
      </c>
      <c r="AY153" s="57" t="s">
        <v>3</v>
      </c>
      <c r="AZ153" s="57" t="s">
        <v>3</v>
      </c>
      <c r="BA153" s="121" t="s">
        <v>3</v>
      </c>
    </row>
    <row r="154" spans="1:53" x14ac:dyDescent="0.25">
      <c r="A154" s="38">
        <v>151</v>
      </c>
      <c r="B154" s="139" t="s">
        <v>44</v>
      </c>
      <c r="C154" s="38" t="s">
        <v>139</v>
      </c>
      <c r="D154" s="38" t="s">
        <v>263</v>
      </c>
      <c r="E154" s="48">
        <v>249.02270300000001</v>
      </c>
      <c r="F154" s="23" t="s">
        <v>564</v>
      </c>
      <c r="G154" s="23" t="s">
        <v>564</v>
      </c>
      <c r="H154" s="23" t="s">
        <v>564</v>
      </c>
      <c r="I154" s="25" t="s">
        <v>3</v>
      </c>
      <c r="J154" s="25" t="s">
        <v>3</v>
      </c>
      <c r="K154" s="117">
        <v>2.4094189004452926</v>
      </c>
      <c r="L154" s="15" t="s">
        <v>3</v>
      </c>
      <c r="M154" s="15">
        <f>(249.0222-249.0227)/249.0222*10^6</f>
        <v>-2.0078531150563146</v>
      </c>
      <c r="N154" s="15">
        <f>(249.0218-249.0227)/249.0218*10^6</f>
        <v>-3.6141414124106142</v>
      </c>
      <c r="O154" s="15">
        <f>(249.02209-249.0227)/249.02209*10^6</f>
        <v>-2.4495818824533613</v>
      </c>
      <c r="P154" s="15">
        <f>(249.02229-249.0227)/249.02229*10^6</f>
        <v>-1.6464389592916804</v>
      </c>
      <c r="Q154" s="15">
        <f>(249.0222-249.0227)/249.0222*10^6</f>
        <v>-2.0078531150563146</v>
      </c>
      <c r="R154" s="15">
        <f>(249.022-249.0227)/249.022*10^6</f>
        <v>-2.8109966187518207</v>
      </c>
      <c r="S154" s="15">
        <f>(249.02209-249.0227)/249.02209*10^6</f>
        <v>-2.4495818824533613</v>
      </c>
      <c r="T154" s="15">
        <f>(249.02229-249.0227)/249.02229*10^6</f>
        <v>-1.6464389592916804</v>
      </c>
      <c r="U154" s="15">
        <f>(249.0222-249.0227)/249.0222*10^6</f>
        <v>-2.0078531150563146</v>
      </c>
      <c r="V154" s="15">
        <f>(249.02209-249.0227)/249.02209*10^6</f>
        <v>-2.4495818824533613</v>
      </c>
      <c r="W154" s="20" t="s">
        <v>564</v>
      </c>
      <c r="X154" s="20" t="s">
        <v>564</v>
      </c>
      <c r="Y154" s="20" t="s">
        <v>564</v>
      </c>
      <c r="Z154" s="26">
        <f>(249.022-249.0227)/249.022*10^6</f>
        <v>-2.8109966187518207</v>
      </c>
      <c r="AA154" s="29" t="s">
        <v>3</v>
      </c>
      <c r="AB154" s="29">
        <f>(249.0228-249.0227)/249.0227*10^6</f>
        <v>0.4015698167408821</v>
      </c>
      <c r="AC154" s="27" t="s">
        <v>3</v>
      </c>
      <c r="AD154" s="27" t="s">
        <v>3</v>
      </c>
      <c r="AE154" s="21">
        <f>(249.02383-E154)/E154*10^6</f>
        <v>4.5256917799850935</v>
      </c>
      <c r="AF154" s="21" t="s">
        <v>3</v>
      </c>
      <c r="AG154" s="21" t="s">
        <v>3</v>
      </c>
      <c r="AH154" s="21" t="s">
        <v>3</v>
      </c>
      <c r="AI154" s="22" t="s">
        <v>3</v>
      </c>
      <c r="AJ154" s="22" t="s">
        <v>564</v>
      </c>
      <c r="AK154" s="30" t="s">
        <v>3</v>
      </c>
      <c r="AL154" s="22" t="s">
        <v>3</v>
      </c>
      <c r="AM154" s="22" t="s">
        <v>564</v>
      </c>
      <c r="AN154" s="65" t="s">
        <v>564</v>
      </c>
      <c r="AO154" s="65" t="s">
        <v>564</v>
      </c>
      <c r="AP154" s="65" t="s">
        <v>564</v>
      </c>
      <c r="AQ154" s="65" t="s">
        <v>564</v>
      </c>
      <c r="AR154" s="65" t="s">
        <v>564</v>
      </c>
      <c r="AS154" s="46" t="s">
        <v>3</v>
      </c>
      <c r="AT154" s="46" t="s">
        <v>3</v>
      </c>
      <c r="AU154" s="46" t="s">
        <v>3</v>
      </c>
      <c r="AV154" s="46">
        <f>(249.0204-E154)/249.0204*10^6</f>
        <v>-9.2482382969906656</v>
      </c>
      <c r="AW154" s="53" t="s">
        <v>3</v>
      </c>
      <c r="AX154" s="53" t="s">
        <v>3</v>
      </c>
      <c r="AY154" s="57" t="s">
        <v>3</v>
      </c>
      <c r="AZ154" s="57" t="s">
        <v>3</v>
      </c>
      <c r="BA154" s="121" t="s">
        <v>3</v>
      </c>
    </row>
    <row r="155" spans="1:53" x14ac:dyDescent="0.25">
      <c r="A155" s="38">
        <v>152</v>
      </c>
      <c r="B155" s="139" t="s">
        <v>45</v>
      </c>
      <c r="C155" s="38" t="s">
        <v>139</v>
      </c>
      <c r="D155" s="38" t="s">
        <v>264</v>
      </c>
      <c r="E155" s="48">
        <v>309.18600400000003</v>
      </c>
      <c r="F155" s="23" t="s">
        <v>564</v>
      </c>
      <c r="G155" s="23" t="s">
        <v>564</v>
      </c>
      <c r="H155" s="23" t="s">
        <v>564</v>
      </c>
      <c r="I155" s="25" t="s">
        <v>3</v>
      </c>
      <c r="J155" s="25" t="s">
        <v>3</v>
      </c>
      <c r="K155" s="117" t="s">
        <v>3</v>
      </c>
      <c r="L155" s="16" t="s">
        <v>3</v>
      </c>
      <c r="M155" s="16" t="s">
        <v>3</v>
      </c>
      <c r="N155" s="16" t="s">
        <v>3</v>
      </c>
      <c r="O155" s="16" t="s">
        <v>3</v>
      </c>
      <c r="P155" s="16" t="s">
        <v>3</v>
      </c>
      <c r="Q155" s="16" t="s">
        <v>3</v>
      </c>
      <c r="R155" s="16" t="s">
        <v>3</v>
      </c>
      <c r="S155" s="16" t="s">
        <v>3</v>
      </c>
      <c r="T155" s="16" t="s">
        <v>3</v>
      </c>
      <c r="U155" s="16" t="s">
        <v>3</v>
      </c>
      <c r="V155" s="4" t="s">
        <v>3</v>
      </c>
      <c r="W155" s="20" t="s">
        <v>564</v>
      </c>
      <c r="X155" s="20" t="s">
        <v>564</v>
      </c>
      <c r="Y155" s="20" t="s">
        <v>564</v>
      </c>
      <c r="Z155" s="17" t="s">
        <v>3</v>
      </c>
      <c r="AA155" s="18" t="s">
        <v>3</v>
      </c>
      <c r="AB155" s="18" t="s">
        <v>3</v>
      </c>
      <c r="AC155" s="19" t="s">
        <v>3</v>
      </c>
      <c r="AD155" s="19" t="s">
        <v>3</v>
      </c>
      <c r="AE155" s="21" t="s">
        <v>3</v>
      </c>
      <c r="AF155" s="21" t="s">
        <v>3</v>
      </c>
      <c r="AG155" s="21" t="s">
        <v>3</v>
      </c>
      <c r="AH155" s="21" t="s">
        <v>3</v>
      </c>
      <c r="AI155" s="22" t="s">
        <v>3</v>
      </c>
      <c r="AJ155" s="22" t="s">
        <v>564</v>
      </c>
      <c r="AK155" s="22" t="s">
        <v>3</v>
      </c>
      <c r="AL155" s="22" t="s">
        <v>3</v>
      </c>
      <c r="AM155" s="22" t="s">
        <v>564</v>
      </c>
      <c r="AN155" s="65" t="s">
        <v>564</v>
      </c>
      <c r="AO155" s="65" t="s">
        <v>564</v>
      </c>
      <c r="AP155" s="65" t="s">
        <v>564</v>
      </c>
      <c r="AQ155" s="65" t="s">
        <v>564</v>
      </c>
      <c r="AR155" s="65" t="s">
        <v>564</v>
      </c>
      <c r="AS155" s="46" t="s">
        <v>3</v>
      </c>
      <c r="AT155" s="46" t="s">
        <v>3</v>
      </c>
      <c r="AU155" s="46" t="s">
        <v>3</v>
      </c>
      <c r="AV155" s="46" t="s">
        <v>3</v>
      </c>
      <c r="AW155" s="53" t="s">
        <v>3</v>
      </c>
      <c r="AX155" s="53" t="s">
        <v>3</v>
      </c>
      <c r="AY155" s="57" t="s">
        <v>3</v>
      </c>
      <c r="AZ155" s="57" t="s">
        <v>3</v>
      </c>
      <c r="BA155" s="121" t="s">
        <v>3</v>
      </c>
    </row>
    <row r="156" spans="1:53" x14ac:dyDescent="0.25">
      <c r="A156" s="38">
        <v>153</v>
      </c>
      <c r="B156" s="139" t="s">
        <v>46</v>
      </c>
      <c r="C156" s="38" t="s">
        <v>139</v>
      </c>
      <c r="D156" s="38" t="s">
        <v>265</v>
      </c>
      <c r="E156" s="48">
        <v>267.13905299999999</v>
      </c>
      <c r="F156" s="23" t="s">
        <v>564</v>
      </c>
      <c r="G156" s="23" t="s">
        <v>564</v>
      </c>
      <c r="H156" s="23" t="s">
        <v>564</v>
      </c>
      <c r="I156" s="25" t="s">
        <v>3</v>
      </c>
      <c r="J156" s="25" t="s">
        <v>3</v>
      </c>
      <c r="K156" s="117" t="s">
        <v>3</v>
      </c>
      <c r="L156" s="15" t="s">
        <v>3</v>
      </c>
      <c r="M156" s="15" t="s">
        <v>3</v>
      </c>
      <c r="N156" s="15" t="s">
        <v>3</v>
      </c>
      <c r="O156" s="15" t="s">
        <v>3</v>
      </c>
      <c r="P156" s="15" t="s">
        <v>3</v>
      </c>
      <c r="Q156" s="15" t="s">
        <v>3</v>
      </c>
      <c r="R156" s="15" t="s">
        <v>3</v>
      </c>
      <c r="S156" s="15" t="s">
        <v>3</v>
      </c>
      <c r="T156" s="15" t="s">
        <v>3</v>
      </c>
      <c r="U156" s="15" t="s">
        <v>3</v>
      </c>
      <c r="V156" s="15" t="s">
        <v>3</v>
      </c>
      <c r="W156" s="20" t="s">
        <v>564</v>
      </c>
      <c r="X156" s="20" t="s">
        <v>564</v>
      </c>
      <c r="Y156" s="20" t="s">
        <v>564</v>
      </c>
      <c r="Z156" s="26" t="s">
        <v>3</v>
      </c>
      <c r="AA156" s="29" t="s">
        <v>3</v>
      </c>
      <c r="AB156" s="29" t="s">
        <v>3</v>
      </c>
      <c r="AC156" s="27" t="s">
        <v>3</v>
      </c>
      <c r="AD156" s="27" t="s">
        <v>3</v>
      </c>
      <c r="AE156" s="21" t="s">
        <v>3</v>
      </c>
      <c r="AF156" s="21" t="s">
        <v>3</v>
      </c>
      <c r="AG156" s="21" t="s">
        <v>3</v>
      </c>
      <c r="AH156" s="21" t="s">
        <v>3</v>
      </c>
      <c r="AI156" s="22" t="s">
        <v>3</v>
      </c>
      <c r="AJ156" s="22" t="s">
        <v>564</v>
      </c>
      <c r="AK156" s="22" t="s">
        <v>3</v>
      </c>
      <c r="AL156" s="22" t="s">
        <v>3</v>
      </c>
      <c r="AM156" s="22" t="s">
        <v>564</v>
      </c>
      <c r="AN156" s="65" t="s">
        <v>564</v>
      </c>
      <c r="AO156" s="65" t="s">
        <v>564</v>
      </c>
      <c r="AP156" s="65" t="s">
        <v>564</v>
      </c>
      <c r="AQ156" s="65" t="s">
        <v>564</v>
      </c>
      <c r="AR156" s="65" t="s">
        <v>564</v>
      </c>
      <c r="AS156" s="46" t="s">
        <v>3</v>
      </c>
      <c r="AT156" s="46" t="s">
        <v>3</v>
      </c>
      <c r="AU156" s="46" t="s">
        <v>3</v>
      </c>
      <c r="AV156" s="46" t="s">
        <v>3</v>
      </c>
      <c r="AW156" s="53" t="s">
        <v>3</v>
      </c>
      <c r="AX156" s="53" t="s">
        <v>3</v>
      </c>
      <c r="AY156" s="57" t="s">
        <v>3</v>
      </c>
      <c r="AZ156" s="57" t="s">
        <v>3</v>
      </c>
      <c r="BA156" s="121" t="s">
        <v>3</v>
      </c>
    </row>
    <row r="157" spans="1:53" x14ac:dyDescent="0.25">
      <c r="A157" s="38">
        <v>154</v>
      </c>
      <c r="B157" s="139" t="s">
        <v>47</v>
      </c>
      <c r="C157" s="38" t="s">
        <v>139</v>
      </c>
      <c r="D157" s="38" t="s">
        <v>266</v>
      </c>
      <c r="E157" s="48">
        <v>542.74580200000003</v>
      </c>
      <c r="F157" s="23" t="s">
        <v>564</v>
      </c>
      <c r="G157" s="23" t="s">
        <v>564</v>
      </c>
      <c r="H157" s="23" t="s">
        <v>564</v>
      </c>
      <c r="I157" s="25" t="s">
        <v>3</v>
      </c>
      <c r="J157" s="25" t="s">
        <v>3</v>
      </c>
      <c r="K157" s="117" t="s">
        <v>3</v>
      </c>
      <c r="L157" s="15" t="s">
        <v>3</v>
      </c>
      <c r="M157" s="15" t="s">
        <v>3</v>
      </c>
      <c r="N157" s="15" t="s">
        <v>3</v>
      </c>
      <c r="O157" s="15" t="s">
        <v>3</v>
      </c>
      <c r="P157" s="15" t="s">
        <v>3</v>
      </c>
      <c r="Q157" s="15" t="s">
        <v>3</v>
      </c>
      <c r="R157" s="15" t="s">
        <v>3</v>
      </c>
      <c r="S157" s="15" t="s">
        <v>3</v>
      </c>
      <c r="T157" s="15" t="s">
        <v>3</v>
      </c>
      <c r="U157" s="15" t="s">
        <v>3</v>
      </c>
      <c r="V157" s="15" t="s">
        <v>3</v>
      </c>
      <c r="W157" s="20" t="s">
        <v>564</v>
      </c>
      <c r="X157" s="20" t="s">
        <v>564</v>
      </c>
      <c r="Y157" s="20" t="s">
        <v>564</v>
      </c>
      <c r="Z157" s="26" t="s">
        <v>3</v>
      </c>
      <c r="AA157" s="29" t="s">
        <v>3</v>
      </c>
      <c r="AB157" s="29" t="s">
        <v>3</v>
      </c>
      <c r="AC157" s="27" t="s">
        <v>3</v>
      </c>
      <c r="AD157" s="27" t="s">
        <v>3</v>
      </c>
      <c r="AE157" s="21" t="s">
        <v>3</v>
      </c>
      <c r="AF157" s="21" t="s">
        <v>3</v>
      </c>
      <c r="AG157" s="21" t="s">
        <v>3</v>
      </c>
      <c r="AH157" s="21" t="s">
        <v>3</v>
      </c>
      <c r="AI157" s="22" t="s">
        <v>3</v>
      </c>
      <c r="AJ157" s="22" t="s">
        <v>564</v>
      </c>
      <c r="AK157" s="22" t="s">
        <v>3</v>
      </c>
      <c r="AL157" s="22" t="s">
        <v>3</v>
      </c>
      <c r="AM157" s="22" t="s">
        <v>564</v>
      </c>
      <c r="AN157" s="65" t="s">
        <v>564</v>
      </c>
      <c r="AO157" s="65" t="s">
        <v>564</v>
      </c>
      <c r="AP157" s="65" t="s">
        <v>564</v>
      </c>
      <c r="AQ157" s="65" t="s">
        <v>564</v>
      </c>
      <c r="AR157" s="65" t="s">
        <v>564</v>
      </c>
      <c r="AS157" s="46" t="s">
        <v>3</v>
      </c>
      <c r="AT157" s="46" t="s">
        <v>3</v>
      </c>
      <c r="AU157" s="46" t="s">
        <v>3</v>
      </c>
      <c r="AV157" s="46" t="s">
        <v>3</v>
      </c>
      <c r="AW157" s="53" t="s">
        <v>3</v>
      </c>
      <c r="AX157" s="53" t="s">
        <v>3</v>
      </c>
      <c r="AY157" s="57" t="s">
        <v>3</v>
      </c>
      <c r="AZ157" s="57" t="s">
        <v>3</v>
      </c>
      <c r="BA157" s="121" t="s">
        <v>3</v>
      </c>
    </row>
    <row r="158" spans="1:53" x14ac:dyDescent="0.25">
      <c r="A158" s="38">
        <v>155</v>
      </c>
      <c r="B158" s="139" t="s">
        <v>48</v>
      </c>
      <c r="C158" s="38" t="s">
        <v>139</v>
      </c>
      <c r="D158" s="38" t="s">
        <v>267</v>
      </c>
      <c r="E158" s="48">
        <v>161.98665199999999</v>
      </c>
      <c r="F158" s="23" t="s">
        <v>564</v>
      </c>
      <c r="G158" s="23" t="s">
        <v>564</v>
      </c>
      <c r="H158" s="23" t="s">
        <v>564</v>
      </c>
      <c r="I158" s="24">
        <f>-0.94*10^-3</f>
        <v>-9.3999999999999997E-4</v>
      </c>
      <c r="J158" s="24">
        <f>0.94*10^-3</f>
        <v>9.3999999999999997E-4</v>
      </c>
      <c r="K158" s="117" t="s">
        <v>3</v>
      </c>
      <c r="L158" s="15" t="s">
        <v>3</v>
      </c>
      <c r="M158" s="15">
        <f>(161.98599-161.9867)/161.98599*10^6</f>
        <v>-4.3830951061040011</v>
      </c>
      <c r="N158" s="15">
        <f>(161.9861-161.9867)/161.9861*10^6</f>
        <v>-3.704021518018632</v>
      </c>
      <c r="O158" s="15">
        <f>(161.98621-161.9867)/161.98621*10^6</f>
        <v>-3.0249488522104695</v>
      </c>
      <c r="P158" s="15">
        <f>(161.98621-161.9867)/161.98621*10^6</f>
        <v>-3.0249488522104695</v>
      </c>
      <c r="Q158" s="15">
        <f>(161.98621-161.9867)/161.98621*10^6</f>
        <v>-3.0249488522104695</v>
      </c>
      <c r="R158" s="15">
        <f>(161.98621-161.9867)/161.98621*10^6</f>
        <v>-3.0249488522104695</v>
      </c>
      <c r="S158" s="15">
        <f>(161.98621-161.9867)/161.98621*10^6</f>
        <v>-3.0249488522104695</v>
      </c>
      <c r="T158" s="15">
        <f>(161.9863-161.9867)/161.9863*10^6</f>
        <v>-2.4693446298438735</v>
      </c>
      <c r="U158" s="15">
        <f>(161.98621-161.9867)/161.98621*10^6</f>
        <v>-3.0249488522104695</v>
      </c>
      <c r="V158" s="15">
        <f>(161.98621-161.9867)/161.98621*10^6</f>
        <v>-3.0249488522104695</v>
      </c>
      <c r="W158" s="20" t="s">
        <v>564</v>
      </c>
      <c r="X158" s="20" t="s">
        <v>564</v>
      </c>
      <c r="Y158" s="20" t="s">
        <v>564</v>
      </c>
      <c r="Z158" s="26">
        <f>(161.98621-161.9867)/161.98621*10^6</f>
        <v>-3.0249488522104695</v>
      </c>
      <c r="AA158" s="29">
        <f>(161.98669-161.9867)/161.98669*10^6</f>
        <v>-6.1733467133467182E-2</v>
      </c>
      <c r="AB158" s="29" t="s">
        <v>3</v>
      </c>
      <c r="AC158" s="27">
        <f>(161.98669-161.9867)/161.98669*10^6</f>
        <v>-6.1733467133467182E-2</v>
      </c>
      <c r="AD158" s="27" t="s">
        <v>3</v>
      </c>
      <c r="AE158" s="21">
        <f>(161.98619-E158)/161.98619*10^6</f>
        <v>-2.8520949841394025</v>
      </c>
      <c r="AF158" s="21">
        <f>(161.98633-E158)/161.98633*10^6</f>
        <v>-1.98782205870604</v>
      </c>
      <c r="AG158" s="21" t="s">
        <v>3</v>
      </c>
      <c r="AH158" s="21" t="s">
        <v>3</v>
      </c>
      <c r="AI158" s="22">
        <v>0.33</v>
      </c>
      <c r="AJ158" s="22" t="s">
        <v>564</v>
      </c>
      <c r="AK158" s="30">
        <v>-4.43</v>
      </c>
      <c r="AL158" s="22">
        <v>-3.4</v>
      </c>
      <c r="AM158" s="22" t="s">
        <v>564</v>
      </c>
      <c r="AN158" s="65" t="s">
        <v>564</v>
      </c>
      <c r="AO158" s="65" t="s">
        <v>564</v>
      </c>
      <c r="AP158" s="65" t="s">
        <v>564</v>
      </c>
      <c r="AQ158" s="65" t="s">
        <v>564</v>
      </c>
      <c r="AR158" s="65" t="s">
        <v>564</v>
      </c>
      <c r="AS158" s="46">
        <f>(161.98869-E158)/E158*10^6</f>
        <v>12.581283549207956</v>
      </c>
      <c r="AT158" s="46">
        <f>(161.9879-E158)/E158*10^6</f>
        <v>7.7043385031744025</v>
      </c>
      <c r="AU158" s="46">
        <f>(161.98689-E158)/E158*10^6</f>
        <v>1.4692568619540558</v>
      </c>
      <c r="AV158" s="46">
        <f>(161.9866-E158)/161.9866*10^6</f>
        <v>-0.32101420723936086</v>
      </c>
      <c r="AW158" s="53">
        <f>(161.986975-E158)/161.986975*10^6</f>
        <v>1.9939874796028074</v>
      </c>
      <c r="AX158" s="53" t="s">
        <v>3</v>
      </c>
      <c r="AY158" s="57" t="s">
        <v>3</v>
      </c>
      <c r="AZ158" s="57" t="s">
        <v>3</v>
      </c>
      <c r="BA158" s="121" t="s">
        <v>3</v>
      </c>
    </row>
    <row r="159" spans="1:53" x14ac:dyDescent="0.25">
      <c r="A159" s="38">
        <v>156</v>
      </c>
      <c r="B159" s="139" t="s">
        <v>50</v>
      </c>
      <c r="C159" s="38" t="s">
        <v>139</v>
      </c>
      <c r="D159" s="38" t="s">
        <v>268</v>
      </c>
      <c r="E159" s="48">
        <v>395.007274</v>
      </c>
      <c r="F159" s="23" t="s">
        <v>564</v>
      </c>
      <c r="G159" s="23" t="s">
        <v>564</v>
      </c>
      <c r="H159" s="23" t="s">
        <v>564</v>
      </c>
      <c r="I159" s="25" t="s">
        <v>3</v>
      </c>
      <c r="J159" s="25" t="s">
        <v>3</v>
      </c>
      <c r="K159" s="117">
        <v>-0.25315994233750155</v>
      </c>
      <c r="L159" s="15" t="s">
        <v>3</v>
      </c>
      <c r="M159" s="15">
        <f>(395.00629-395.00727)/395.00629*10^6</f>
        <v>-2.4809731511537407</v>
      </c>
      <c r="N159" s="15">
        <f>(395.00589-395.00727)/395.00589*10^6</f>
        <v>-3.493618791312918</v>
      </c>
      <c r="O159" s="15">
        <f>(395.00641-395.00727)/395.00641*10^6</f>
        <v>-2.177179858900919</v>
      </c>
      <c r="P159" s="15">
        <f>(395.00641-395.00727)/395.00641*10^6</f>
        <v>-2.177179858900919</v>
      </c>
      <c r="Q159" s="15">
        <f>(395.00641-395.00727)/395.00641*10^6</f>
        <v>-2.177179858900919</v>
      </c>
      <c r="R159" s="15">
        <f>(395.00601-395.00727)/395.00601*10^6</f>
        <v>-3.1898248839354042</v>
      </c>
      <c r="S159" s="15">
        <f>(395.0061-395.00727)/395.0061*10^6</f>
        <v>-2.9619795744974362</v>
      </c>
      <c r="T159" s="15">
        <f>(395.00641-395.00727)/395.00641*10^6</f>
        <v>-2.177179858900919</v>
      </c>
      <c r="U159" s="15">
        <f>(395.0062-395.00727)/395.0062*10^6</f>
        <v>-2.7088182414022715</v>
      </c>
      <c r="V159" s="15">
        <f>(395.0065-395.00727)/395.0065*1066</f>
        <v>-2.0779911216343566E-3</v>
      </c>
      <c r="W159" s="20" t="s">
        <v>564</v>
      </c>
      <c r="X159" s="20" t="s">
        <v>564</v>
      </c>
      <c r="Y159" s="20" t="s">
        <v>564</v>
      </c>
      <c r="Z159" s="26">
        <f>(395.00571-395.00727)/395.00571*10^6</f>
        <v>-3.9493099985404627</v>
      </c>
      <c r="AA159" s="29">
        <f>(395.00739-395.00727)/395.00727*10^6</f>
        <v>0.30379187699822902</v>
      </c>
      <c r="AB159" s="29" t="s">
        <v>3</v>
      </c>
      <c r="AC159" s="27">
        <f>(395.0072-395.00727)/395.0072*10^6</f>
        <v>-0.17721195966503203</v>
      </c>
      <c r="AD159" s="27" t="s">
        <v>3</v>
      </c>
      <c r="AE159" s="21">
        <f>(395.00697-E159)/395.00697*10^6</f>
        <v>-0.769606672944121</v>
      </c>
      <c r="AF159" s="21">
        <f>(395.00721-E159)/395.00721*10^6</f>
        <v>-0.16202235905756202</v>
      </c>
      <c r="AG159" s="21" t="s">
        <v>3</v>
      </c>
      <c r="AH159" s="21" t="s">
        <v>3</v>
      </c>
      <c r="AI159" s="22">
        <v>-4.72</v>
      </c>
      <c r="AJ159" s="22" t="s">
        <v>564</v>
      </c>
      <c r="AK159" s="30">
        <v>-2.08</v>
      </c>
      <c r="AL159" s="22">
        <v>-0.35</v>
      </c>
      <c r="AM159" s="22" t="s">
        <v>564</v>
      </c>
      <c r="AN159" s="65" t="s">
        <v>564</v>
      </c>
      <c r="AO159" s="65" t="s">
        <v>564</v>
      </c>
      <c r="AP159" s="65" t="s">
        <v>564</v>
      </c>
      <c r="AQ159" s="65" t="s">
        <v>564</v>
      </c>
      <c r="AR159" s="65" t="s">
        <v>564</v>
      </c>
      <c r="AS159" s="46" t="s">
        <v>3</v>
      </c>
      <c r="AT159" s="46" t="s">
        <v>3</v>
      </c>
      <c r="AU159" s="46" t="s">
        <v>3</v>
      </c>
      <c r="AV159" s="46" t="s">
        <v>3</v>
      </c>
      <c r="AW159" s="53" t="s">
        <v>3</v>
      </c>
      <c r="AX159" s="53" t="s">
        <v>3</v>
      </c>
      <c r="AY159" s="57" t="s">
        <v>3</v>
      </c>
      <c r="AZ159" s="57">
        <f>(395.008805-E159)/395.008805*10^6</f>
        <v>3.8758629696873448</v>
      </c>
      <c r="BA159" s="121">
        <f>(395.006664-E159)/395.006664*10^6</f>
        <v>-1.544277744120971</v>
      </c>
    </row>
    <row r="160" spans="1:53" x14ac:dyDescent="0.25">
      <c r="AW160" s="54"/>
      <c r="AX160" s="54"/>
      <c r="AY160" s="58"/>
      <c r="AZ160" s="58"/>
      <c r="BA160" s="122"/>
    </row>
  </sheetData>
  <sortState xmlns:xlrd2="http://schemas.microsoft.com/office/spreadsheetml/2017/richdata2" ref="A4:BA165">
    <sortCondition ref="A1"/>
  </sortState>
  <conditionalFormatting sqref="I8:I26 I28:I58 I66:I159 I2:I5">
    <cfRule type="cellIs" dxfId="112" priority="20" operator="greaterThan">
      <formula>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160"/>
  <sheetViews>
    <sheetView zoomScaleNormal="100" zoomScalePageLayoutView="8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baseColWidth="10" defaultColWidth="9.140625" defaultRowHeight="15" x14ac:dyDescent="0.25"/>
  <cols>
    <col min="1" max="1" width="12.140625" style="38" hidden="1" customWidth="1"/>
    <col min="2" max="2" width="31.7109375" style="139" bestFit="1" customWidth="1"/>
    <col min="3" max="3" width="9.85546875" style="38" hidden="1" customWidth="1"/>
    <col min="4" max="4" width="14.140625" style="38" hidden="1" customWidth="1"/>
    <col min="5" max="5" width="14.140625" style="48" hidden="1" customWidth="1"/>
    <col min="6" max="8" width="25.140625" style="12" customWidth="1"/>
    <col min="9" max="9" width="25.140625" style="11" customWidth="1"/>
    <col min="10" max="10" width="25.140625" style="10" customWidth="1"/>
    <col min="11" max="11" width="25.140625" style="114" customWidth="1"/>
    <col min="12" max="12" width="33" style="4" customWidth="1"/>
    <col min="13" max="19" width="34" style="4" customWidth="1"/>
    <col min="20" max="22" width="35" style="4" customWidth="1"/>
    <col min="23" max="24" width="25.140625" style="14" customWidth="1"/>
    <col min="25" max="25" width="31" style="14" customWidth="1"/>
    <col min="26" max="26" width="25.140625" style="39" customWidth="1"/>
    <col min="27" max="27" width="35.85546875" style="7" customWidth="1"/>
    <col min="28" max="28" width="34.140625" style="7" customWidth="1"/>
    <col min="29" max="29" width="27.5703125" style="9" customWidth="1"/>
    <col min="30" max="30" width="33.42578125" style="9" customWidth="1"/>
    <col min="31" max="33" width="25.140625" style="3" customWidth="1"/>
    <col min="34" max="34" width="33.42578125" style="3" customWidth="1"/>
    <col min="35" max="35" width="25.140625" style="1" customWidth="1"/>
    <col min="36" max="36" width="31.140625" style="1" customWidth="1"/>
    <col min="37" max="37" width="30.85546875" style="1" customWidth="1"/>
    <col min="38" max="39" width="25.140625" style="1" customWidth="1"/>
    <col min="40" max="42" width="19.28515625" style="65" customWidth="1"/>
    <col min="43" max="43" width="19.7109375" style="65" customWidth="1"/>
    <col min="44" max="44" width="19.28515625" style="65" customWidth="1"/>
    <col min="45" max="48" width="25.140625" style="42" customWidth="1"/>
    <col min="49" max="49" width="20.28515625" style="59" customWidth="1"/>
    <col min="50" max="50" width="20.42578125" style="59" customWidth="1"/>
    <col min="51" max="52" width="30.5703125" style="60" customWidth="1"/>
    <col min="53" max="53" width="28.42578125" style="119" customWidth="1"/>
    <col min="54" max="16384" width="9.140625" style="38"/>
  </cols>
  <sheetData>
    <row r="1" spans="1:53" ht="30" x14ac:dyDescent="0.25">
      <c r="A1" s="38" t="s">
        <v>688</v>
      </c>
      <c r="B1" s="49" t="s">
        <v>125</v>
      </c>
      <c r="C1" s="31" t="s">
        <v>299</v>
      </c>
      <c r="D1" s="31" t="s">
        <v>143</v>
      </c>
      <c r="E1" s="95" t="s">
        <v>274</v>
      </c>
      <c r="F1" s="47" t="s">
        <v>277</v>
      </c>
      <c r="G1" s="47" t="s">
        <v>645</v>
      </c>
      <c r="H1" s="47" t="s">
        <v>278</v>
      </c>
      <c r="I1" s="44" t="s">
        <v>280</v>
      </c>
      <c r="J1" s="44" t="s">
        <v>281</v>
      </c>
      <c r="K1" s="112" t="s">
        <v>282</v>
      </c>
      <c r="L1" s="32" t="s">
        <v>283</v>
      </c>
      <c r="M1" s="32" t="s">
        <v>1248</v>
      </c>
      <c r="N1" s="32" t="s">
        <v>1249</v>
      </c>
      <c r="O1" s="32" t="s">
        <v>1250</v>
      </c>
      <c r="P1" s="32" t="s">
        <v>1251</v>
      </c>
      <c r="Q1" s="32" t="s">
        <v>1252</v>
      </c>
      <c r="R1" s="32" t="s">
        <v>1253</v>
      </c>
      <c r="S1" s="32" t="s">
        <v>1254</v>
      </c>
      <c r="T1" s="32" t="s">
        <v>1255</v>
      </c>
      <c r="U1" s="32" t="s">
        <v>1256</v>
      </c>
      <c r="V1" s="32" t="s">
        <v>1257</v>
      </c>
      <c r="W1" s="43" t="s">
        <v>290</v>
      </c>
      <c r="X1" s="43" t="s">
        <v>291</v>
      </c>
      <c r="Y1" s="43" t="s">
        <v>292</v>
      </c>
      <c r="Z1" s="34" t="s">
        <v>284</v>
      </c>
      <c r="AA1" s="33" t="s">
        <v>286</v>
      </c>
      <c r="AB1" s="33" t="s">
        <v>287</v>
      </c>
      <c r="AC1" s="35" t="s">
        <v>288</v>
      </c>
      <c r="AD1" s="35" t="s">
        <v>289</v>
      </c>
      <c r="AE1" s="36" t="s">
        <v>126</v>
      </c>
      <c r="AF1" s="36" t="s">
        <v>130</v>
      </c>
      <c r="AG1" s="36" t="s">
        <v>127</v>
      </c>
      <c r="AH1" s="36" t="s">
        <v>128</v>
      </c>
      <c r="AI1" s="37" t="s">
        <v>133</v>
      </c>
      <c r="AJ1" s="37" t="s">
        <v>134</v>
      </c>
      <c r="AK1" s="37" t="s">
        <v>135</v>
      </c>
      <c r="AL1" s="37" t="s">
        <v>132</v>
      </c>
      <c r="AM1" s="37" t="s">
        <v>279</v>
      </c>
      <c r="AN1" s="65" t="s">
        <v>606</v>
      </c>
      <c r="AO1" s="65" t="s">
        <v>605</v>
      </c>
      <c r="AP1" s="65" t="s">
        <v>604</v>
      </c>
      <c r="AQ1" s="65" t="s">
        <v>603</v>
      </c>
      <c r="AR1" s="65" t="s">
        <v>602</v>
      </c>
      <c r="AS1" s="41" t="s">
        <v>297</v>
      </c>
      <c r="AT1" s="41" t="s">
        <v>295</v>
      </c>
      <c r="AU1" s="41" t="s">
        <v>298</v>
      </c>
      <c r="AV1" s="41" t="s">
        <v>296</v>
      </c>
      <c r="AW1" s="59" t="s">
        <v>567</v>
      </c>
      <c r="AX1" s="59" t="s">
        <v>568</v>
      </c>
      <c r="AY1" s="60" t="s">
        <v>569</v>
      </c>
      <c r="AZ1" s="60" t="s">
        <v>570</v>
      </c>
      <c r="BA1" s="119" t="s">
        <v>571</v>
      </c>
    </row>
    <row r="2" spans="1:53" ht="45" hidden="1" x14ac:dyDescent="0.25">
      <c r="A2" s="31" t="s">
        <v>430</v>
      </c>
      <c r="B2" s="49" t="s">
        <v>269</v>
      </c>
      <c r="C2" s="31" t="s">
        <v>269</v>
      </c>
      <c r="D2" s="31" t="s">
        <v>269</v>
      </c>
      <c r="E2" s="95" t="s">
        <v>269</v>
      </c>
      <c r="F2" s="47" t="s">
        <v>427</v>
      </c>
      <c r="G2" s="47" t="s">
        <v>427</v>
      </c>
      <c r="H2" s="47" t="s">
        <v>427</v>
      </c>
      <c r="I2" s="45" t="s">
        <v>425</v>
      </c>
      <c r="J2" s="45" t="s">
        <v>425</v>
      </c>
      <c r="K2" s="113" t="s">
        <v>426</v>
      </c>
      <c r="L2" s="32" t="s">
        <v>270</v>
      </c>
      <c r="M2" s="32" t="s">
        <v>270</v>
      </c>
      <c r="N2" s="32" t="s">
        <v>270</v>
      </c>
      <c r="O2" s="32" t="s">
        <v>270</v>
      </c>
      <c r="P2" s="32" t="s">
        <v>270</v>
      </c>
      <c r="Q2" s="32" t="s">
        <v>270</v>
      </c>
      <c r="R2" s="32" t="s">
        <v>270</v>
      </c>
      <c r="S2" s="32" t="s">
        <v>270</v>
      </c>
      <c r="T2" s="32" t="s">
        <v>270</v>
      </c>
      <c r="U2" s="32" t="s">
        <v>270</v>
      </c>
      <c r="V2" s="32" t="s">
        <v>270</v>
      </c>
      <c r="W2" s="43" t="s">
        <v>285</v>
      </c>
      <c r="X2" s="43" t="s">
        <v>285</v>
      </c>
      <c r="Y2" s="43" t="s">
        <v>285</v>
      </c>
      <c r="Z2" s="34" t="s">
        <v>270</v>
      </c>
      <c r="AA2" s="33" t="s">
        <v>285</v>
      </c>
      <c r="AB2" s="33" t="s">
        <v>285</v>
      </c>
      <c r="AC2" s="35" t="s">
        <v>285</v>
      </c>
      <c r="AD2" s="35" t="s">
        <v>285</v>
      </c>
      <c r="AE2" s="36" t="s">
        <v>428</v>
      </c>
      <c r="AF2" s="36" t="s">
        <v>428</v>
      </c>
      <c r="AG2" s="36" t="s">
        <v>428</v>
      </c>
      <c r="AH2" s="36" t="s">
        <v>428</v>
      </c>
      <c r="AI2" s="37" t="s">
        <v>141</v>
      </c>
      <c r="AJ2" s="37" t="s">
        <v>141</v>
      </c>
      <c r="AK2" s="37" t="s">
        <v>141</v>
      </c>
      <c r="AL2" s="37" t="s">
        <v>141</v>
      </c>
      <c r="AM2" s="37" t="s">
        <v>141</v>
      </c>
      <c r="AN2" s="65" t="s">
        <v>601</v>
      </c>
      <c r="AO2" s="65" t="s">
        <v>601</v>
      </c>
      <c r="AP2" s="65" t="s">
        <v>601</v>
      </c>
      <c r="AQ2" s="65" t="s">
        <v>601</v>
      </c>
      <c r="AR2" s="65" t="s">
        <v>601</v>
      </c>
      <c r="AS2" s="41" t="s">
        <v>429</v>
      </c>
      <c r="AT2" s="41" t="s">
        <v>429</v>
      </c>
      <c r="AU2" s="41" t="s">
        <v>429</v>
      </c>
      <c r="AV2" s="41" t="s">
        <v>429</v>
      </c>
      <c r="AW2" s="61" t="s">
        <v>572</v>
      </c>
      <c r="AX2" s="61" t="s">
        <v>572</v>
      </c>
      <c r="AY2" s="62" t="s">
        <v>572</v>
      </c>
      <c r="AZ2" s="62" t="s">
        <v>572</v>
      </c>
      <c r="BA2" s="120" t="s">
        <v>572</v>
      </c>
    </row>
    <row r="3" spans="1:53" ht="105" hidden="1" x14ac:dyDescent="0.25">
      <c r="A3" s="31" t="s">
        <v>300</v>
      </c>
      <c r="B3" s="49" t="s">
        <v>269</v>
      </c>
      <c r="C3" s="31" t="s">
        <v>269</v>
      </c>
      <c r="D3" s="31" t="s">
        <v>269</v>
      </c>
      <c r="E3" s="95" t="s">
        <v>269</v>
      </c>
      <c r="F3" s="47" t="s">
        <v>417</v>
      </c>
      <c r="G3" s="47" t="s">
        <v>418</v>
      </c>
      <c r="H3" s="47" t="s">
        <v>419</v>
      </c>
      <c r="I3" s="45" t="s">
        <v>420</v>
      </c>
      <c r="J3" s="45" t="s">
        <v>421</v>
      </c>
      <c r="K3" s="113" t="s">
        <v>422</v>
      </c>
      <c r="L3" s="32" t="s">
        <v>389</v>
      </c>
      <c r="M3" s="32" t="s">
        <v>390</v>
      </c>
      <c r="N3" s="32" t="s">
        <v>391</v>
      </c>
      <c r="O3" s="32" t="s">
        <v>392</v>
      </c>
      <c r="P3" s="32" t="s">
        <v>393</v>
      </c>
      <c r="Q3" s="32" t="s">
        <v>394</v>
      </c>
      <c r="R3" s="32" t="s">
        <v>395</v>
      </c>
      <c r="S3" s="32" t="s">
        <v>396</v>
      </c>
      <c r="T3" s="32" t="s">
        <v>397</v>
      </c>
      <c r="U3" s="32" t="s">
        <v>398</v>
      </c>
      <c r="V3" s="32" t="s">
        <v>399</v>
      </c>
      <c r="W3" s="43" t="s">
        <v>406</v>
      </c>
      <c r="X3" s="43" t="s">
        <v>407</v>
      </c>
      <c r="Y3" s="43" t="s">
        <v>405</v>
      </c>
      <c r="Z3" s="34" t="s">
        <v>400</v>
      </c>
      <c r="AA3" s="33" t="s">
        <v>401</v>
      </c>
      <c r="AB3" s="33" t="s">
        <v>402</v>
      </c>
      <c r="AC3" s="35" t="s">
        <v>404</v>
      </c>
      <c r="AD3" s="35" t="s">
        <v>403</v>
      </c>
      <c r="AE3" s="36" t="s">
        <v>408</v>
      </c>
      <c r="AF3" s="36" t="s">
        <v>409</v>
      </c>
      <c r="AG3" s="36" t="s">
        <v>411</v>
      </c>
      <c r="AH3" s="36" t="s">
        <v>410</v>
      </c>
      <c r="AI3" s="37" t="s">
        <v>415</v>
      </c>
      <c r="AJ3" s="37" t="s">
        <v>413</v>
      </c>
      <c r="AK3" s="37" t="s">
        <v>414</v>
      </c>
      <c r="AL3" s="37" t="s">
        <v>412</v>
      </c>
      <c r="AM3" s="37" t="s">
        <v>416</v>
      </c>
      <c r="AN3" s="65" t="s">
        <v>611</v>
      </c>
      <c r="AO3" s="65" t="s">
        <v>608</v>
      </c>
      <c r="AP3" s="65" t="s">
        <v>610</v>
      </c>
      <c r="AQ3" s="65" t="s">
        <v>607</v>
      </c>
      <c r="AR3" s="65" t="s">
        <v>609</v>
      </c>
      <c r="AS3" s="41" t="s">
        <v>431</v>
      </c>
      <c r="AT3" s="41" t="s">
        <v>423</v>
      </c>
      <c r="AU3" s="41" t="s">
        <v>432</v>
      </c>
      <c r="AV3" s="41" t="s">
        <v>424</v>
      </c>
      <c r="AW3" s="61" t="s">
        <v>573</v>
      </c>
      <c r="AX3" s="61" t="s">
        <v>574</v>
      </c>
      <c r="AY3" s="62" t="s">
        <v>575</v>
      </c>
      <c r="AZ3" s="62" t="s">
        <v>576</v>
      </c>
      <c r="BA3" s="120" t="s">
        <v>577</v>
      </c>
    </row>
    <row r="4" spans="1:53" ht="15" customHeight="1" x14ac:dyDescent="0.25">
      <c r="A4" s="38">
        <v>1</v>
      </c>
      <c r="B4" s="139" t="s">
        <v>56</v>
      </c>
      <c r="C4" s="38" t="s">
        <v>138</v>
      </c>
      <c r="D4" s="38" t="s">
        <v>144</v>
      </c>
      <c r="E4" s="48">
        <v>275.25807099999997</v>
      </c>
      <c r="F4" s="140" t="s">
        <v>3</v>
      </c>
      <c r="G4" s="140" t="s">
        <v>3</v>
      </c>
      <c r="H4" s="140" t="s">
        <v>3</v>
      </c>
      <c r="I4" s="142">
        <v>32.288333333333298</v>
      </c>
      <c r="J4" s="142">
        <v>32.290333333333301</v>
      </c>
      <c r="K4" s="143" t="s">
        <v>3</v>
      </c>
      <c r="L4" s="144">
        <v>18.042000000000002</v>
      </c>
      <c r="M4" s="145">
        <v>17.5</v>
      </c>
      <c r="N4" s="145">
        <v>17.966000000000001</v>
      </c>
      <c r="O4" s="145">
        <v>17.888000000000002</v>
      </c>
      <c r="P4" s="145">
        <v>17.91</v>
      </c>
      <c r="Q4" s="145">
        <v>17.952999999999999</v>
      </c>
      <c r="R4" s="144">
        <v>18.079000000000001</v>
      </c>
      <c r="S4" s="145" t="s">
        <v>3</v>
      </c>
      <c r="T4" s="145">
        <v>17.515999999999998</v>
      </c>
      <c r="U4" s="145" t="s">
        <v>3</v>
      </c>
      <c r="V4" s="145">
        <v>17.983000000000001</v>
      </c>
      <c r="W4" s="146">
        <v>17.791</v>
      </c>
      <c r="X4" s="146">
        <v>17.712</v>
      </c>
      <c r="Y4" s="146">
        <v>17.762</v>
      </c>
      <c r="Z4" s="147">
        <v>18.027999999999999</v>
      </c>
      <c r="AA4" s="148" t="s">
        <v>3</v>
      </c>
      <c r="AB4" s="148" t="s">
        <v>3</v>
      </c>
      <c r="AC4" s="149">
        <v>17.835999999999999</v>
      </c>
      <c r="AD4" s="149">
        <v>17.765000000000001</v>
      </c>
      <c r="AE4" s="150">
        <v>13.627000000000001</v>
      </c>
      <c r="AF4" s="150">
        <v>13.606999999999999</v>
      </c>
      <c r="AG4" s="150">
        <v>13.577</v>
      </c>
      <c r="AH4" s="150">
        <v>13.593</v>
      </c>
      <c r="AI4" s="151">
        <v>15.1794666666667</v>
      </c>
      <c r="AJ4" s="151">
        <v>15.158533333333301</v>
      </c>
      <c r="AK4" s="151">
        <v>15.179600000000001</v>
      </c>
      <c r="AL4" s="151">
        <v>15.1643333333333</v>
      </c>
      <c r="AM4" s="151">
        <v>14.9952666666667</v>
      </c>
      <c r="AN4" s="152" t="s">
        <v>3</v>
      </c>
      <c r="AO4" s="152" t="s">
        <v>3</v>
      </c>
      <c r="AP4" s="152" t="s">
        <v>3</v>
      </c>
      <c r="AQ4" s="152" t="s">
        <v>3</v>
      </c>
      <c r="AR4" s="152" t="s">
        <v>3</v>
      </c>
      <c r="AS4" s="153">
        <v>35.289000000000001</v>
      </c>
      <c r="AT4" s="153">
        <v>33.673999999999999</v>
      </c>
      <c r="AU4" s="153">
        <v>34.984000000000002</v>
      </c>
      <c r="AV4" s="153">
        <v>35.417999999999999</v>
      </c>
      <c r="AW4" s="154" t="s">
        <v>3</v>
      </c>
      <c r="AX4" s="154" t="s">
        <v>3</v>
      </c>
      <c r="AY4" s="155" t="s">
        <v>3</v>
      </c>
      <c r="AZ4" s="155" t="s">
        <v>3</v>
      </c>
      <c r="BA4" s="156" t="s">
        <v>3</v>
      </c>
    </row>
    <row r="5" spans="1:53" ht="15.75" customHeight="1" x14ac:dyDescent="0.25">
      <c r="A5" s="38">
        <v>2</v>
      </c>
      <c r="B5" s="139" t="s">
        <v>57</v>
      </c>
      <c r="C5" s="38" t="s">
        <v>138</v>
      </c>
      <c r="D5" s="38" t="s">
        <v>145</v>
      </c>
      <c r="E5" s="48">
        <v>336.310835</v>
      </c>
      <c r="F5" s="140" t="s">
        <v>3</v>
      </c>
      <c r="G5" s="140" t="s">
        <v>3</v>
      </c>
      <c r="H5" s="140" t="s">
        <v>3</v>
      </c>
      <c r="I5" s="142">
        <v>32.141833333333302</v>
      </c>
      <c r="J5" s="142">
        <v>32.158666666666697</v>
      </c>
      <c r="K5" s="143" t="s">
        <v>3</v>
      </c>
      <c r="L5" s="145">
        <v>17.989999999999998</v>
      </c>
      <c r="M5" s="145">
        <v>17.600999999999999</v>
      </c>
      <c r="N5" s="145">
        <v>17.966000000000001</v>
      </c>
      <c r="O5" s="145">
        <v>17.940999999999999</v>
      </c>
      <c r="P5" s="145">
        <v>17.91</v>
      </c>
      <c r="Q5" s="145">
        <v>17.902000000000001</v>
      </c>
      <c r="R5" s="144">
        <v>18.079000000000001</v>
      </c>
      <c r="S5" s="145">
        <v>17.917000000000002</v>
      </c>
      <c r="T5" s="145">
        <v>17.616</v>
      </c>
      <c r="U5" s="145" t="s">
        <v>3</v>
      </c>
      <c r="V5" s="145">
        <v>17.983000000000001</v>
      </c>
      <c r="W5" s="146">
        <v>17.818999999999999</v>
      </c>
      <c r="X5" s="146">
        <v>17.721</v>
      </c>
      <c r="Y5" s="146">
        <v>17.771000000000001</v>
      </c>
      <c r="Z5" s="147">
        <v>18.047000000000001</v>
      </c>
      <c r="AA5" s="148" t="s">
        <v>3</v>
      </c>
      <c r="AB5" s="148" t="s">
        <v>3</v>
      </c>
      <c r="AC5" s="149">
        <v>17.863</v>
      </c>
      <c r="AD5" s="149">
        <v>17.792999999999999</v>
      </c>
      <c r="AE5" s="150">
        <v>13.627000000000001</v>
      </c>
      <c r="AF5" s="150">
        <v>13.624000000000001</v>
      </c>
      <c r="AG5" s="150">
        <v>13.577</v>
      </c>
      <c r="AH5" s="150">
        <v>13.61</v>
      </c>
      <c r="AI5" s="151">
        <v>15.210900000000001</v>
      </c>
      <c r="AJ5" s="151">
        <v>15.18995</v>
      </c>
      <c r="AK5" s="151">
        <v>15.200533333333301</v>
      </c>
      <c r="AL5" s="151">
        <v>15.1781333333333</v>
      </c>
      <c r="AM5" s="151">
        <v>15.009066666666699</v>
      </c>
      <c r="AN5" s="152" t="s">
        <v>3</v>
      </c>
      <c r="AO5" s="152" t="s">
        <v>3</v>
      </c>
      <c r="AP5" s="152" t="s">
        <v>3</v>
      </c>
      <c r="AQ5" s="152" t="s">
        <v>3</v>
      </c>
      <c r="AR5" s="152" t="s">
        <v>3</v>
      </c>
      <c r="AS5" s="153">
        <v>35.289000000000001</v>
      </c>
      <c r="AT5" s="153">
        <v>33.631</v>
      </c>
      <c r="AU5" s="153">
        <v>34.924999999999997</v>
      </c>
      <c r="AV5" s="153">
        <v>35.387999999999998</v>
      </c>
      <c r="AW5" s="154" t="s">
        <v>3</v>
      </c>
      <c r="AX5" s="154" t="s">
        <v>3</v>
      </c>
      <c r="AY5" s="155" t="s">
        <v>3</v>
      </c>
      <c r="AZ5" s="155" t="s">
        <v>3</v>
      </c>
      <c r="BA5" s="156" t="s">
        <v>3</v>
      </c>
    </row>
    <row r="6" spans="1:53" x14ac:dyDescent="0.25">
      <c r="A6" s="38">
        <v>3</v>
      </c>
      <c r="B6" s="139" t="s">
        <v>58</v>
      </c>
      <c r="C6" s="38" t="s">
        <v>138</v>
      </c>
      <c r="D6" s="38" t="s">
        <v>146</v>
      </c>
      <c r="E6" s="48">
        <v>380.33704999999998</v>
      </c>
      <c r="F6" s="140" t="s">
        <v>3</v>
      </c>
      <c r="G6" s="140" t="s">
        <v>3</v>
      </c>
      <c r="H6" s="140" t="s">
        <v>3</v>
      </c>
      <c r="I6" s="142">
        <v>31.9955</v>
      </c>
      <c r="J6" s="142">
        <v>32.027833333333298</v>
      </c>
      <c r="K6" s="143" t="s">
        <v>3</v>
      </c>
      <c r="L6" s="145">
        <v>17.989999999999998</v>
      </c>
      <c r="M6" s="145">
        <v>17.600999999999999</v>
      </c>
      <c r="N6" s="145">
        <v>17.914999999999999</v>
      </c>
      <c r="O6" s="145">
        <v>17.940999999999999</v>
      </c>
      <c r="P6" s="145">
        <v>17.91</v>
      </c>
      <c r="Q6" s="145">
        <v>17.952999999999999</v>
      </c>
      <c r="R6" s="144">
        <v>18.079000000000001</v>
      </c>
      <c r="S6" s="145">
        <v>17.917000000000002</v>
      </c>
      <c r="T6" s="145">
        <v>17.616</v>
      </c>
      <c r="U6" s="145" t="s">
        <v>3</v>
      </c>
      <c r="V6" s="145">
        <v>17.983000000000001</v>
      </c>
      <c r="W6" s="146">
        <v>17.829000000000001</v>
      </c>
      <c r="X6" s="146">
        <v>17.739999999999998</v>
      </c>
      <c r="Y6" s="146">
        <v>17.818000000000001</v>
      </c>
      <c r="Z6" s="147">
        <v>18.065000000000001</v>
      </c>
      <c r="AA6" s="148" t="s">
        <v>3</v>
      </c>
      <c r="AB6" s="148" t="s">
        <v>3</v>
      </c>
      <c r="AC6" s="149">
        <v>17.890999999999998</v>
      </c>
      <c r="AD6" s="149" t="s">
        <v>3</v>
      </c>
      <c r="AE6" s="150">
        <v>13.627000000000001</v>
      </c>
      <c r="AF6" s="150">
        <v>13.624000000000001</v>
      </c>
      <c r="AG6" s="150">
        <v>13.577</v>
      </c>
      <c r="AH6" s="150">
        <v>13.593</v>
      </c>
      <c r="AI6" s="151">
        <v>15.210900000000001</v>
      </c>
      <c r="AJ6" s="151">
        <v>15.210900000000001</v>
      </c>
      <c r="AK6" s="151">
        <v>15.211016666666699</v>
      </c>
      <c r="AL6" s="151">
        <v>15.19195</v>
      </c>
      <c r="AM6" s="151">
        <v>15.022883333333301</v>
      </c>
      <c r="AN6" s="152" t="s">
        <v>3</v>
      </c>
      <c r="AO6" s="152" t="s">
        <v>3</v>
      </c>
      <c r="AP6" s="152" t="s">
        <v>3</v>
      </c>
      <c r="AQ6" s="152" t="s">
        <v>3</v>
      </c>
      <c r="AR6" s="152" t="s">
        <v>3</v>
      </c>
      <c r="AS6" s="153">
        <v>35.274999999999999</v>
      </c>
      <c r="AT6" s="153">
        <v>33.631</v>
      </c>
      <c r="AU6" s="153">
        <v>34.911000000000001</v>
      </c>
      <c r="AV6" s="153">
        <v>35.387999999999998</v>
      </c>
      <c r="AW6" s="154" t="s">
        <v>3</v>
      </c>
      <c r="AX6" s="154" t="s">
        <v>3</v>
      </c>
      <c r="AY6" s="155">
        <v>9.94</v>
      </c>
      <c r="AZ6" s="155" t="s">
        <v>3</v>
      </c>
      <c r="BA6" s="156" t="s">
        <v>3</v>
      </c>
    </row>
    <row r="7" spans="1:53" s="31" customFormat="1" ht="15" customHeight="1" x14ac:dyDescent="0.25">
      <c r="A7" s="38">
        <v>4</v>
      </c>
      <c r="B7" s="139" t="s">
        <v>59</v>
      </c>
      <c r="C7" s="38" t="s">
        <v>138</v>
      </c>
      <c r="D7" s="38" t="s">
        <v>147</v>
      </c>
      <c r="E7" s="48">
        <v>424.36326500000001</v>
      </c>
      <c r="F7" s="140">
        <f>14.146</f>
        <v>14.146000000000001</v>
      </c>
      <c r="G7" s="140">
        <v>14.129</v>
      </c>
      <c r="H7" s="140">
        <v>14.156000000000001</v>
      </c>
      <c r="I7" s="142">
        <v>31.820333333333298</v>
      </c>
      <c r="J7" s="142">
        <v>31.852833333333301</v>
      </c>
      <c r="K7" s="143" t="s">
        <v>3</v>
      </c>
      <c r="L7" s="145">
        <v>17.989999999999998</v>
      </c>
      <c r="M7" s="145">
        <v>17.649999999999999</v>
      </c>
      <c r="N7" s="145">
        <v>17.914999999999999</v>
      </c>
      <c r="O7" s="145">
        <v>17.940999999999999</v>
      </c>
      <c r="P7" s="145">
        <v>17.960999999999999</v>
      </c>
      <c r="Q7" s="145">
        <v>17.952999999999999</v>
      </c>
      <c r="R7" s="144">
        <v>18.079000000000001</v>
      </c>
      <c r="S7" s="145">
        <v>17.917000000000002</v>
      </c>
      <c r="T7" s="145">
        <v>17.616</v>
      </c>
      <c r="U7" s="145" t="s">
        <v>3</v>
      </c>
      <c r="V7" s="145">
        <v>17.983000000000001</v>
      </c>
      <c r="W7" s="146">
        <v>17.829000000000001</v>
      </c>
      <c r="X7" s="157">
        <v>17.768000000000001</v>
      </c>
      <c r="Y7" s="146">
        <v>17.809000000000001</v>
      </c>
      <c r="Z7" s="147">
        <v>18.100000000000001</v>
      </c>
      <c r="AA7" s="148" t="s">
        <v>3</v>
      </c>
      <c r="AB7" s="148" t="s">
        <v>3</v>
      </c>
      <c r="AC7" s="149">
        <v>17.919</v>
      </c>
      <c r="AD7" s="149" t="s">
        <v>3</v>
      </c>
      <c r="AE7" s="150">
        <v>13.61</v>
      </c>
      <c r="AF7" s="150">
        <v>13.606999999999999</v>
      </c>
      <c r="AG7" s="150">
        <v>13.593</v>
      </c>
      <c r="AH7" s="150">
        <v>13.593</v>
      </c>
      <c r="AI7" s="151">
        <v>15.2213666666667</v>
      </c>
      <c r="AJ7" s="151">
        <v>15.210900000000001</v>
      </c>
      <c r="AK7" s="151">
        <v>15.2214833333333</v>
      </c>
      <c r="AL7" s="151">
        <v>15.20575</v>
      </c>
      <c r="AM7" s="151">
        <v>15.036683333333301</v>
      </c>
      <c r="AN7" s="152" t="s">
        <v>3</v>
      </c>
      <c r="AO7" s="152" t="s">
        <v>3</v>
      </c>
      <c r="AP7" s="152" t="s">
        <v>3</v>
      </c>
      <c r="AQ7" s="152" t="s">
        <v>3</v>
      </c>
      <c r="AR7" s="152" t="s">
        <v>3</v>
      </c>
      <c r="AS7" s="153">
        <v>35.158000000000001</v>
      </c>
      <c r="AT7" s="153">
        <v>33.540999999999997</v>
      </c>
      <c r="AU7" s="153">
        <v>34.838000000000001</v>
      </c>
      <c r="AV7" s="153">
        <v>35.314999999999998</v>
      </c>
      <c r="AW7" s="154" t="s">
        <v>3</v>
      </c>
      <c r="AX7" s="154" t="s">
        <v>3</v>
      </c>
      <c r="AY7" s="155">
        <v>10.64</v>
      </c>
      <c r="AZ7" s="155" t="s">
        <v>3</v>
      </c>
      <c r="BA7" s="156" t="s">
        <v>3</v>
      </c>
    </row>
    <row r="8" spans="1:53" x14ac:dyDescent="0.25">
      <c r="A8" s="38">
        <v>5</v>
      </c>
      <c r="B8" s="139" t="s">
        <v>60</v>
      </c>
      <c r="C8" s="38" t="s">
        <v>138</v>
      </c>
      <c r="D8" s="38" t="s">
        <v>148</v>
      </c>
      <c r="E8" s="48">
        <v>468.38947899999999</v>
      </c>
      <c r="F8" s="140">
        <f>14.101</f>
        <v>14.101000000000001</v>
      </c>
      <c r="G8" s="140">
        <v>14.085000000000001</v>
      </c>
      <c r="H8" s="140">
        <v>14.111000000000001</v>
      </c>
      <c r="I8" s="142">
        <v>31.615500000000001</v>
      </c>
      <c r="J8" s="142">
        <v>31.6191666666667</v>
      </c>
      <c r="K8" s="143" t="s">
        <v>3</v>
      </c>
      <c r="L8" s="144">
        <v>17.989999999999998</v>
      </c>
      <c r="M8" s="145">
        <v>17.649999999999999</v>
      </c>
      <c r="N8" s="145">
        <v>17.914999999999999</v>
      </c>
      <c r="O8" s="145">
        <v>17.940999999999999</v>
      </c>
      <c r="P8" s="145">
        <v>17.91</v>
      </c>
      <c r="Q8" s="145">
        <v>17.952999999999999</v>
      </c>
      <c r="R8" s="144">
        <v>18.079000000000001</v>
      </c>
      <c r="S8" s="145">
        <v>17.969000000000001</v>
      </c>
      <c r="T8" s="145">
        <v>17.616</v>
      </c>
      <c r="U8" s="145" t="s">
        <v>3</v>
      </c>
      <c r="V8" s="145">
        <v>17.983000000000001</v>
      </c>
      <c r="W8" s="157">
        <v>17.829000000000001</v>
      </c>
      <c r="X8" s="157">
        <v>17.768000000000001</v>
      </c>
      <c r="Y8" s="157">
        <v>17.856000000000002</v>
      </c>
      <c r="Z8" s="158">
        <v>18.100000000000001</v>
      </c>
      <c r="AA8" s="148" t="s">
        <v>3</v>
      </c>
      <c r="AB8" s="148" t="s">
        <v>3</v>
      </c>
      <c r="AC8" s="159">
        <v>17.919</v>
      </c>
      <c r="AD8" s="149" t="s">
        <v>3</v>
      </c>
      <c r="AE8" s="150">
        <v>13.61</v>
      </c>
      <c r="AF8" s="150">
        <v>13.606999999999999</v>
      </c>
      <c r="AG8" s="150">
        <v>13.593</v>
      </c>
      <c r="AH8" s="150">
        <v>13.593</v>
      </c>
      <c r="AI8" s="151">
        <v>15.23185</v>
      </c>
      <c r="AJ8" s="151">
        <v>15.210900000000001</v>
      </c>
      <c r="AK8" s="151">
        <v>15.2319666666667</v>
      </c>
      <c r="AL8" s="151">
        <v>15.20575</v>
      </c>
      <c r="AM8" s="151">
        <v>15.0505</v>
      </c>
      <c r="AN8" s="152" t="s">
        <v>3</v>
      </c>
      <c r="AO8" s="152" t="s">
        <v>3</v>
      </c>
      <c r="AP8" s="152" t="s">
        <v>3</v>
      </c>
      <c r="AQ8" s="152" t="s">
        <v>3</v>
      </c>
      <c r="AR8" s="152" t="s">
        <v>3</v>
      </c>
      <c r="AS8" s="153">
        <v>35.1</v>
      </c>
      <c r="AT8" s="153">
        <v>33.482999999999997</v>
      </c>
      <c r="AU8" s="153">
        <v>34.765000000000001</v>
      </c>
      <c r="AV8" s="153">
        <v>35.213999999999999</v>
      </c>
      <c r="AW8" s="154" t="s">
        <v>3</v>
      </c>
      <c r="AX8" s="154" t="s">
        <v>3</v>
      </c>
      <c r="AY8" s="155" t="s">
        <v>3</v>
      </c>
      <c r="AZ8" s="155" t="s">
        <v>3</v>
      </c>
      <c r="BA8" s="156" t="s">
        <v>3</v>
      </c>
    </row>
    <row r="9" spans="1:53" x14ac:dyDescent="0.25">
      <c r="A9" s="38">
        <v>6</v>
      </c>
      <c r="B9" s="139" t="s">
        <v>61</v>
      </c>
      <c r="C9" s="38" t="s">
        <v>138</v>
      </c>
      <c r="D9" s="38" t="s">
        <v>149</v>
      </c>
      <c r="E9" s="48">
        <v>512.41569400000003</v>
      </c>
      <c r="F9" s="140">
        <f>14.057</f>
        <v>14.057</v>
      </c>
      <c r="G9" s="140">
        <v>14.045999999999999</v>
      </c>
      <c r="H9" s="140">
        <v>14.067</v>
      </c>
      <c r="I9" s="142">
        <v>31.411000000000001</v>
      </c>
      <c r="J9" s="142">
        <v>31.415333333333301</v>
      </c>
      <c r="K9" s="143" t="s">
        <v>3</v>
      </c>
      <c r="L9" s="144">
        <v>17.989999999999998</v>
      </c>
      <c r="M9" s="145">
        <v>17.649999999999999</v>
      </c>
      <c r="N9" s="145">
        <v>17.914999999999999</v>
      </c>
      <c r="O9" s="145">
        <v>17.940999999999999</v>
      </c>
      <c r="P9" s="145">
        <v>17.91</v>
      </c>
      <c r="Q9" s="145">
        <v>17.952999999999999</v>
      </c>
      <c r="R9" s="145">
        <v>18.079000000000001</v>
      </c>
      <c r="S9" s="145">
        <v>17.696000000000002</v>
      </c>
      <c r="T9" s="145">
        <v>17.616</v>
      </c>
      <c r="U9" s="145" t="s">
        <v>3</v>
      </c>
      <c r="V9" s="145">
        <v>17.983000000000001</v>
      </c>
      <c r="W9" s="157">
        <v>17.829000000000001</v>
      </c>
      <c r="X9" s="157">
        <v>17.768000000000001</v>
      </c>
      <c r="Y9" s="157">
        <v>17.798999999999999</v>
      </c>
      <c r="Z9" s="158">
        <v>18.100000000000001</v>
      </c>
      <c r="AA9" s="148" t="s">
        <v>3</v>
      </c>
      <c r="AB9" s="148" t="s">
        <v>3</v>
      </c>
      <c r="AC9" s="159">
        <v>17.919</v>
      </c>
      <c r="AD9" s="149" t="s">
        <v>3</v>
      </c>
      <c r="AE9" s="150">
        <v>13.61</v>
      </c>
      <c r="AF9" s="150">
        <v>13.624000000000001</v>
      </c>
      <c r="AG9" s="150">
        <v>13.593</v>
      </c>
      <c r="AH9" s="150">
        <v>13.593</v>
      </c>
      <c r="AI9" s="151">
        <v>15.23185</v>
      </c>
      <c r="AJ9" s="151">
        <v>15.210900000000001</v>
      </c>
      <c r="AK9" s="151">
        <v>15.2319666666667</v>
      </c>
      <c r="AL9" s="151">
        <v>15.219566666666701</v>
      </c>
      <c r="AM9" s="151">
        <v>15.0505</v>
      </c>
      <c r="AN9" s="152" t="s">
        <v>3</v>
      </c>
      <c r="AO9" s="152" t="s">
        <v>3</v>
      </c>
      <c r="AP9" s="152" t="s">
        <v>3</v>
      </c>
      <c r="AQ9" s="152" t="s">
        <v>3</v>
      </c>
      <c r="AR9" s="152" t="s">
        <v>3</v>
      </c>
      <c r="AS9" s="153">
        <v>34.997999999999998</v>
      </c>
      <c r="AT9" s="153">
        <v>33.381999999999998</v>
      </c>
      <c r="AU9" s="153">
        <v>34.662999999999997</v>
      </c>
      <c r="AV9" s="153">
        <v>35.125999999999998</v>
      </c>
      <c r="AW9" s="154" t="s">
        <v>3</v>
      </c>
      <c r="AX9" s="154" t="s">
        <v>3</v>
      </c>
      <c r="AY9" s="155" t="s">
        <v>3</v>
      </c>
      <c r="AZ9" s="155" t="s">
        <v>3</v>
      </c>
      <c r="BA9" s="156" t="s">
        <v>3</v>
      </c>
    </row>
    <row r="10" spans="1:53" x14ac:dyDescent="0.25">
      <c r="A10" s="38">
        <v>7</v>
      </c>
      <c r="B10" s="139" t="s">
        <v>62</v>
      </c>
      <c r="C10" s="38" t="s">
        <v>138</v>
      </c>
      <c r="D10" s="38" t="s">
        <v>150</v>
      </c>
      <c r="E10" s="48">
        <v>556.44190900000001</v>
      </c>
      <c r="F10" s="140">
        <f>14.013</f>
        <v>14.013</v>
      </c>
      <c r="G10" s="140">
        <v>14.000999999999999</v>
      </c>
      <c r="H10" s="140">
        <v>13.978999999999999</v>
      </c>
      <c r="I10" s="142">
        <v>31.148333333333301</v>
      </c>
      <c r="J10" s="142">
        <v>31.1963333333333</v>
      </c>
      <c r="K10" s="143" t="s">
        <v>3</v>
      </c>
      <c r="L10" s="144">
        <v>17.989999999999998</v>
      </c>
      <c r="M10" s="145">
        <v>17.649999999999999</v>
      </c>
      <c r="N10" s="145">
        <v>17.914999999999999</v>
      </c>
      <c r="O10" s="145">
        <v>17.940999999999999</v>
      </c>
      <c r="P10" s="145">
        <v>17.91</v>
      </c>
      <c r="Q10" s="145">
        <v>17.952999999999999</v>
      </c>
      <c r="R10" s="145">
        <v>18.079000000000001</v>
      </c>
      <c r="S10" s="145">
        <v>17.917000000000002</v>
      </c>
      <c r="T10" s="145">
        <v>17.616</v>
      </c>
      <c r="U10" s="145" t="s">
        <v>3</v>
      </c>
      <c r="V10" s="145">
        <v>17.983000000000001</v>
      </c>
      <c r="W10" s="157">
        <v>17.829000000000001</v>
      </c>
      <c r="X10" s="157">
        <v>17.768000000000001</v>
      </c>
      <c r="Y10" s="157">
        <v>17.856000000000002</v>
      </c>
      <c r="Z10" s="158">
        <v>18.100000000000001</v>
      </c>
      <c r="AA10" s="148" t="s">
        <v>3</v>
      </c>
      <c r="AB10" s="148" t="s">
        <v>3</v>
      </c>
      <c r="AC10" s="159">
        <v>17.919</v>
      </c>
      <c r="AD10" s="149" t="s">
        <v>3</v>
      </c>
      <c r="AE10" s="150">
        <v>13.593999999999999</v>
      </c>
      <c r="AF10" s="150">
        <v>13.606999999999999</v>
      </c>
      <c r="AG10" s="150">
        <v>13.577</v>
      </c>
      <c r="AH10" s="150">
        <v>13.593</v>
      </c>
      <c r="AI10" s="151">
        <v>15.23185</v>
      </c>
      <c r="AJ10" s="151">
        <v>15.2213666666667</v>
      </c>
      <c r="AK10" s="151">
        <v>15.2319666666667</v>
      </c>
      <c r="AL10" s="151">
        <v>15.219566666666701</v>
      </c>
      <c r="AM10" s="151">
        <v>15.064299999999999</v>
      </c>
      <c r="AN10" s="152" t="s">
        <v>3</v>
      </c>
      <c r="AO10" s="152" t="s">
        <v>3</v>
      </c>
      <c r="AP10" s="152" t="s">
        <v>3</v>
      </c>
      <c r="AQ10" s="152" t="s">
        <v>3</v>
      </c>
      <c r="AR10" s="152" t="s">
        <v>3</v>
      </c>
      <c r="AS10" s="153">
        <v>34.881</v>
      </c>
      <c r="AT10" s="153">
        <v>33.279000000000003</v>
      </c>
      <c r="AU10" s="153">
        <v>34.545999999999999</v>
      </c>
      <c r="AV10" s="153">
        <v>34.979999999999997</v>
      </c>
      <c r="AW10" s="154" t="s">
        <v>3</v>
      </c>
      <c r="AX10" s="154" t="s">
        <v>3</v>
      </c>
      <c r="AY10" s="155" t="s">
        <v>3</v>
      </c>
      <c r="AZ10" s="155" t="s">
        <v>3</v>
      </c>
      <c r="BA10" s="156" t="s">
        <v>3</v>
      </c>
    </row>
    <row r="11" spans="1:53" x14ac:dyDescent="0.25">
      <c r="A11" s="38">
        <v>8</v>
      </c>
      <c r="B11" s="139" t="s">
        <v>63</v>
      </c>
      <c r="C11" s="38" t="s">
        <v>138</v>
      </c>
      <c r="D11" s="38" t="s">
        <v>151</v>
      </c>
      <c r="E11" s="48">
        <v>600.46812399999999</v>
      </c>
      <c r="F11" s="140">
        <f>13.969</f>
        <v>13.968999999999999</v>
      </c>
      <c r="G11" s="140">
        <v>13.957000000000001</v>
      </c>
      <c r="H11" s="140">
        <v>13.933999999999999</v>
      </c>
      <c r="I11" s="160" t="s">
        <v>3</v>
      </c>
      <c r="J11" s="142" t="s">
        <v>3</v>
      </c>
      <c r="K11" s="143" t="s">
        <v>3</v>
      </c>
      <c r="L11" s="144">
        <v>17.989999999999998</v>
      </c>
      <c r="M11" s="144">
        <v>17.649999999999999</v>
      </c>
      <c r="N11" s="145">
        <v>17.914999999999999</v>
      </c>
      <c r="O11" s="145">
        <v>17.940999999999999</v>
      </c>
      <c r="P11" s="145">
        <v>17.91</v>
      </c>
      <c r="Q11" s="145">
        <v>17.902000000000001</v>
      </c>
      <c r="R11" s="145">
        <v>18.024999999999999</v>
      </c>
      <c r="S11" s="145">
        <v>17.969000000000001</v>
      </c>
      <c r="T11" s="145">
        <v>17.616</v>
      </c>
      <c r="U11" s="145" t="s">
        <v>3</v>
      </c>
      <c r="V11" s="145">
        <v>17.983000000000001</v>
      </c>
      <c r="W11" s="157">
        <v>17.829000000000001</v>
      </c>
      <c r="X11" s="157">
        <v>17.768000000000001</v>
      </c>
      <c r="Y11" s="157">
        <v>17.856000000000002</v>
      </c>
      <c r="Z11" s="158">
        <v>18.100000000000001</v>
      </c>
      <c r="AA11" s="148" t="s">
        <v>3</v>
      </c>
      <c r="AB11" s="148" t="s">
        <v>3</v>
      </c>
      <c r="AC11" s="159">
        <v>17.919</v>
      </c>
      <c r="AD11" s="149" t="s">
        <v>3</v>
      </c>
      <c r="AE11" s="150">
        <v>13.593999999999999</v>
      </c>
      <c r="AF11" s="150">
        <v>13.590999999999999</v>
      </c>
      <c r="AG11" s="150">
        <v>13.56</v>
      </c>
      <c r="AH11" s="150">
        <v>13.577</v>
      </c>
      <c r="AI11" s="151">
        <v>15.23185</v>
      </c>
      <c r="AJ11" s="151">
        <v>15.210900000000001</v>
      </c>
      <c r="AK11" s="151">
        <v>15.2319666666667</v>
      </c>
      <c r="AL11" s="151">
        <v>15.219566666666701</v>
      </c>
      <c r="AM11" s="151">
        <v>15.064299999999999</v>
      </c>
      <c r="AN11" s="152" t="s">
        <v>3</v>
      </c>
      <c r="AO11" s="152" t="s">
        <v>3</v>
      </c>
      <c r="AP11" s="152" t="s">
        <v>3</v>
      </c>
      <c r="AQ11" s="152" t="s">
        <v>3</v>
      </c>
      <c r="AR11" s="152" t="s">
        <v>3</v>
      </c>
      <c r="AS11" s="153">
        <v>34.764000000000003</v>
      </c>
      <c r="AT11" s="153">
        <v>33.177999999999997</v>
      </c>
      <c r="AU11" s="153">
        <v>34.429000000000002</v>
      </c>
      <c r="AV11" s="153">
        <v>34.878</v>
      </c>
      <c r="AW11" s="154" t="s">
        <v>3</v>
      </c>
      <c r="AX11" s="154" t="s">
        <v>3</v>
      </c>
      <c r="AY11" s="155" t="s">
        <v>3</v>
      </c>
      <c r="AZ11" s="155" t="s">
        <v>3</v>
      </c>
      <c r="BA11" s="156" t="s">
        <v>3</v>
      </c>
    </row>
    <row r="12" spans="1:53" x14ac:dyDescent="0.25">
      <c r="A12" s="38">
        <v>9</v>
      </c>
      <c r="B12" s="139" t="s">
        <v>64</v>
      </c>
      <c r="C12" s="38" t="s">
        <v>138</v>
      </c>
      <c r="D12" s="38" t="s">
        <v>152</v>
      </c>
      <c r="E12" s="48">
        <v>644.49433799999997</v>
      </c>
      <c r="F12" s="140">
        <f>13.88</f>
        <v>13.88</v>
      </c>
      <c r="G12" s="140">
        <v>13.912000000000001</v>
      </c>
      <c r="H12" s="140">
        <v>13.933999999999999</v>
      </c>
      <c r="I12" s="160" t="s">
        <v>3</v>
      </c>
      <c r="J12" s="142" t="s">
        <v>3</v>
      </c>
      <c r="K12" s="143" t="s">
        <v>3</v>
      </c>
      <c r="L12" s="144">
        <v>17.937999999999999</v>
      </c>
      <c r="M12" s="144">
        <v>17.600999999999999</v>
      </c>
      <c r="N12" s="145">
        <v>17.914999999999999</v>
      </c>
      <c r="O12" s="145">
        <v>17.940999999999999</v>
      </c>
      <c r="P12" s="145">
        <v>17.91</v>
      </c>
      <c r="Q12" s="145">
        <v>17.902000000000001</v>
      </c>
      <c r="R12" s="145">
        <v>18.024999999999999</v>
      </c>
      <c r="S12" s="145">
        <v>17.917000000000002</v>
      </c>
      <c r="T12" s="145">
        <v>17.616</v>
      </c>
      <c r="U12" s="145" t="s">
        <v>3</v>
      </c>
      <c r="V12" s="144">
        <v>17.93</v>
      </c>
      <c r="W12" s="157">
        <v>17.829000000000001</v>
      </c>
      <c r="X12" s="157">
        <v>17.768000000000001</v>
      </c>
      <c r="Y12" s="157">
        <v>17.856000000000002</v>
      </c>
      <c r="Z12" s="158">
        <v>18.100000000000001</v>
      </c>
      <c r="AA12" s="148" t="s">
        <v>3</v>
      </c>
      <c r="AB12" s="148" t="s">
        <v>3</v>
      </c>
      <c r="AC12" s="159">
        <v>17.946000000000002</v>
      </c>
      <c r="AD12" s="149" t="s">
        <v>3</v>
      </c>
      <c r="AE12" s="150">
        <v>13.593999999999999</v>
      </c>
      <c r="AF12" s="150" t="s">
        <v>3</v>
      </c>
      <c r="AG12" s="150">
        <v>13.56</v>
      </c>
      <c r="AH12" s="150">
        <v>13.593</v>
      </c>
      <c r="AI12" s="151">
        <v>15.2213666666667</v>
      </c>
      <c r="AJ12" s="151">
        <v>15.2213666666667</v>
      </c>
      <c r="AK12" s="151">
        <v>15.2319666666667</v>
      </c>
      <c r="AL12" s="151">
        <v>15.20575</v>
      </c>
      <c r="AM12" s="151">
        <v>15.064299999999999</v>
      </c>
      <c r="AN12" s="152" t="s">
        <v>3</v>
      </c>
      <c r="AO12" s="152" t="s">
        <v>3</v>
      </c>
      <c r="AP12" s="152" t="s">
        <v>3</v>
      </c>
      <c r="AQ12" s="152" t="s">
        <v>3</v>
      </c>
      <c r="AR12" s="152" t="s">
        <v>3</v>
      </c>
      <c r="AS12" s="153">
        <v>34.633000000000003</v>
      </c>
      <c r="AT12" s="153">
        <v>33.061999999999998</v>
      </c>
      <c r="AU12" s="153">
        <v>34.326999999999998</v>
      </c>
      <c r="AV12" s="153">
        <v>34.790999999999997</v>
      </c>
      <c r="AW12" s="154" t="s">
        <v>3</v>
      </c>
      <c r="AX12" s="154" t="s">
        <v>3</v>
      </c>
      <c r="AY12" s="155" t="s">
        <v>3</v>
      </c>
      <c r="AZ12" s="155" t="s">
        <v>3</v>
      </c>
      <c r="BA12" s="156" t="s">
        <v>3</v>
      </c>
    </row>
    <row r="13" spans="1:53" x14ac:dyDescent="0.25">
      <c r="A13" s="38">
        <v>10</v>
      </c>
      <c r="B13" s="139" t="s">
        <v>65</v>
      </c>
      <c r="C13" s="38" t="s">
        <v>138</v>
      </c>
      <c r="D13" s="38" t="s">
        <v>153</v>
      </c>
      <c r="E13" s="48">
        <v>688.52055299999995</v>
      </c>
      <c r="F13" s="140">
        <f>13.836</f>
        <v>13.836</v>
      </c>
      <c r="G13" s="140">
        <v>13.824</v>
      </c>
      <c r="H13" s="140">
        <v>13.846</v>
      </c>
      <c r="I13" s="160" t="s">
        <v>3</v>
      </c>
      <c r="J13" s="142" t="s">
        <v>3</v>
      </c>
      <c r="K13" s="143" t="s">
        <v>3</v>
      </c>
      <c r="L13" s="144">
        <v>17.937999999999999</v>
      </c>
      <c r="M13" s="144">
        <v>17.600999999999999</v>
      </c>
      <c r="N13" s="145">
        <v>17.864000000000001</v>
      </c>
      <c r="O13" s="145">
        <v>17.888000000000002</v>
      </c>
      <c r="P13" s="145">
        <v>17.91</v>
      </c>
      <c r="Q13" s="145">
        <v>17.902000000000001</v>
      </c>
      <c r="R13" s="145">
        <v>18.024999999999999</v>
      </c>
      <c r="S13" s="145">
        <v>17.917000000000002</v>
      </c>
      <c r="T13" s="145">
        <v>17.616</v>
      </c>
      <c r="U13" s="145" t="s">
        <v>3</v>
      </c>
      <c r="V13" s="144">
        <v>17.93</v>
      </c>
      <c r="W13" s="157">
        <v>17.829000000000001</v>
      </c>
      <c r="X13" s="157">
        <v>17.759</v>
      </c>
      <c r="Y13" s="157" t="s">
        <v>3</v>
      </c>
      <c r="Z13" s="158">
        <v>18.100000000000001</v>
      </c>
      <c r="AA13" s="148" t="s">
        <v>3</v>
      </c>
      <c r="AB13" s="148" t="s">
        <v>3</v>
      </c>
      <c r="AC13" s="159">
        <v>17.919</v>
      </c>
      <c r="AD13" s="149" t="s">
        <v>3</v>
      </c>
      <c r="AE13" s="150">
        <v>13.577</v>
      </c>
      <c r="AF13" s="150" t="s">
        <v>3</v>
      </c>
      <c r="AG13" s="150">
        <v>13.56</v>
      </c>
      <c r="AH13" s="150">
        <v>13.577</v>
      </c>
      <c r="AI13" s="151">
        <v>15.2213666666667</v>
      </c>
      <c r="AJ13" s="151">
        <v>15.210900000000001</v>
      </c>
      <c r="AK13" s="151">
        <v>15.2214833333333</v>
      </c>
      <c r="AL13" s="151">
        <v>15.20575</v>
      </c>
      <c r="AM13" s="151">
        <v>15.064299999999999</v>
      </c>
      <c r="AN13" s="152" t="s">
        <v>3</v>
      </c>
      <c r="AO13" s="152" t="s">
        <v>3</v>
      </c>
      <c r="AP13" s="152" t="s">
        <v>3</v>
      </c>
      <c r="AQ13" s="152" t="s">
        <v>3</v>
      </c>
      <c r="AR13" s="152" t="s">
        <v>3</v>
      </c>
      <c r="AS13" s="153">
        <v>34.515999999999998</v>
      </c>
      <c r="AT13" s="153">
        <v>32.930999999999997</v>
      </c>
      <c r="AU13" s="153">
        <v>34.180999999999997</v>
      </c>
      <c r="AV13" s="153">
        <v>34.645000000000003</v>
      </c>
      <c r="AW13" s="154" t="s">
        <v>3</v>
      </c>
      <c r="AX13" s="154" t="s">
        <v>3</v>
      </c>
      <c r="AY13" s="155" t="s">
        <v>3</v>
      </c>
      <c r="AZ13" s="155" t="s">
        <v>3</v>
      </c>
      <c r="BA13" s="156" t="s">
        <v>3</v>
      </c>
    </row>
    <row r="14" spans="1:53" x14ac:dyDescent="0.25">
      <c r="A14" s="38">
        <v>11</v>
      </c>
      <c r="B14" s="139" t="s">
        <v>66</v>
      </c>
      <c r="C14" s="38" t="s">
        <v>138</v>
      </c>
      <c r="D14" s="38" t="s">
        <v>154</v>
      </c>
      <c r="E14" s="48">
        <v>732.54676800000004</v>
      </c>
      <c r="F14" s="140">
        <f>13.791</f>
        <v>13.791</v>
      </c>
      <c r="G14" s="140">
        <v>13.779</v>
      </c>
      <c r="H14" s="140" t="s">
        <v>3</v>
      </c>
      <c r="I14" s="160" t="s">
        <v>3</v>
      </c>
      <c r="J14" s="142" t="s">
        <v>3</v>
      </c>
      <c r="K14" s="143" t="s">
        <v>3</v>
      </c>
      <c r="L14" s="144">
        <v>17.937999999999999</v>
      </c>
      <c r="M14" s="145">
        <v>17.600999999999999</v>
      </c>
      <c r="N14" s="145">
        <v>17.914999999999999</v>
      </c>
      <c r="O14" s="145">
        <v>17.888000000000002</v>
      </c>
      <c r="P14" s="145">
        <v>17.91</v>
      </c>
      <c r="Q14" s="145">
        <v>17.902000000000001</v>
      </c>
      <c r="R14" s="145">
        <v>18.024999999999999</v>
      </c>
      <c r="S14" s="145">
        <v>17.917000000000002</v>
      </c>
      <c r="T14" s="145">
        <v>17.616</v>
      </c>
      <c r="U14" s="145" t="s">
        <v>3</v>
      </c>
      <c r="V14" s="144">
        <v>17.93</v>
      </c>
      <c r="W14" s="157">
        <v>17.829000000000001</v>
      </c>
      <c r="X14" s="157">
        <v>17.768000000000001</v>
      </c>
      <c r="Y14" s="157" t="s">
        <v>3</v>
      </c>
      <c r="Z14" s="158">
        <v>18.100000000000001</v>
      </c>
      <c r="AA14" s="148" t="s">
        <v>3</v>
      </c>
      <c r="AB14" s="148" t="s">
        <v>3</v>
      </c>
      <c r="AC14" s="159">
        <v>17.919</v>
      </c>
      <c r="AD14" s="149" t="s">
        <v>3</v>
      </c>
      <c r="AE14" s="150">
        <v>13.56</v>
      </c>
      <c r="AF14" s="150" t="s">
        <v>3</v>
      </c>
      <c r="AG14" s="150">
        <v>13.56</v>
      </c>
      <c r="AH14" s="150">
        <v>13.577</v>
      </c>
      <c r="AI14" s="151">
        <v>15.2213666666667</v>
      </c>
      <c r="AJ14" s="151" t="s">
        <v>3</v>
      </c>
      <c r="AK14" s="151">
        <v>15.2214833333333</v>
      </c>
      <c r="AL14" s="151">
        <v>15.20575</v>
      </c>
      <c r="AM14" s="151">
        <v>15.0781166666667</v>
      </c>
      <c r="AN14" s="152" t="s">
        <v>3</v>
      </c>
      <c r="AO14" s="152" t="s">
        <v>3</v>
      </c>
      <c r="AP14" s="152" t="s">
        <v>3</v>
      </c>
      <c r="AQ14" s="152" t="s">
        <v>3</v>
      </c>
      <c r="AR14" s="152" t="s">
        <v>3</v>
      </c>
      <c r="AS14" s="153">
        <v>34.4</v>
      </c>
      <c r="AT14" s="153">
        <v>32.786999999999999</v>
      </c>
      <c r="AU14" s="153">
        <v>34.079000000000001</v>
      </c>
      <c r="AV14" s="153">
        <v>34.557000000000002</v>
      </c>
      <c r="AW14" s="154" t="s">
        <v>3</v>
      </c>
      <c r="AX14" s="154" t="s">
        <v>3</v>
      </c>
      <c r="AY14" s="155" t="s">
        <v>3</v>
      </c>
      <c r="AZ14" s="155" t="s">
        <v>3</v>
      </c>
      <c r="BA14" s="156" t="s">
        <v>3</v>
      </c>
    </row>
    <row r="15" spans="1:53" x14ac:dyDescent="0.25">
      <c r="A15" s="38">
        <v>12</v>
      </c>
      <c r="B15" s="139" t="s">
        <v>67</v>
      </c>
      <c r="C15" s="38" t="s">
        <v>138</v>
      </c>
      <c r="D15" s="38" t="s">
        <v>155</v>
      </c>
      <c r="E15" s="48">
        <v>776.57298300000002</v>
      </c>
      <c r="F15" s="140" t="s">
        <v>3</v>
      </c>
      <c r="G15" s="140">
        <v>13.734999999999999</v>
      </c>
      <c r="H15" s="140" t="s">
        <v>3</v>
      </c>
      <c r="I15" s="160" t="s">
        <v>3</v>
      </c>
      <c r="J15" s="160" t="s">
        <v>3</v>
      </c>
      <c r="K15" s="143" t="s">
        <v>3</v>
      </c>
      <c r="L15" s="144">
        <v>17.937999999999999</v>
      </c>
      <c r="M15" s="145">
        <v>17.600999999999999</v>
      </c>
      <c r="N15" s="145">
        <v>17.864000000000001</v>
      </c>
      <c r="O15" s="145">
        <v>17.888000000000002</v>
      </c>
      <c r="P15" s="145">
        <v>17.960999999999999</v>
      </c>
      <c r="Q15" s="145">
        <v>17.850999999999999</v>
      </c>
      <c r="R15" s="145">
        <v>18.024999999999999</v>
      </c>
      <c r="S15" s="145">
        <v>17.917000000000002</v>
      </c>
      <c r="T15" s="145">
        <v>17.616</v>
      </c>
      <c r="U15" s="145" t="s">
        <v>3</v>
      </c>
      <c r="V15" s="144">
        <v>17.93</v>
      </c>
      <c r="W15" s="157">
        <v>17.829000000000001</v>
      </c>
      <c r="X15" s="157">
        <v>17.768000000000001</v>
      </c>
      <c r="Y15" s="157" t="s">
        <v>3</v>
      </c>
      <c r="Z15" s="158">
        <v>18.100000000000001</v>
      </c>
      <c r="AA15" s="148" t="s">
        <v>3</v>
      </c>
      <c r="AB15" s="148" t="s">
        <v>3</v>
      </c>
      <c r="AC15" s="159">
        <v>17.919</v>
      </c>
      <c r="AD15" s="149" t="s">
        <v>3</v>
      </c>
      <c r="AE15" s="150">
        <v>13.577</v>
      </c>
      <c r="AF15" s="150" t="s">
        <v>3</v>
      </c>
      <c r="AG15" s="150">
        <v>13.542999999999999</v>
      </c>
      <c r="AH15" s="150">
        <v>13.56</v>
      </c>
      <c r="AI15" s="151">
        <v>15.2213666666667</v>
      </c>
      <c r="AJ15" s="151" t="s">
        <v>3</v>
      </c>
      <c r="AK15" s="151">
        <v>15.2214833333333</v>
      </c>
      <c r="AL15" s="151">
        <v>15.20575</v>
      </c>
      <c r="AM15" s="151">
        <v>15.064299999999999</v>
      </c>
      <c r="AN15" s="152" t="s">
        <v>3</v>
      </c>
      <c r="AO15" s="152" t="s">
        <v>3</v>
      </c>
      <c r="AP15" s="152" t="s">
        <v>3</v>
      </c>
      <c r="AQ15" s="152" t="s">
        <v>3</v>
      </c>
      <c r="AR15" s="152" t="s">
        <v>3</v>
      </c>
      <c r="AS15" s="153" t="s">
        <v>3</v>
      </c>
      <c r="AT15" s="153">
        <v>32.712000000000003</v>
      </c>
      <c r="AU15" s="153">
        <v>33.976999999999997</v>
      </c>
      <c r="AV15" s="153">
        <v>34.426000000000002</v>
      </c>
      <c r="AW15" s="154" t="s">
        <v>3</v>
      </c>
      <c r="AX15" s="154" t="s">
        <v>3</v>
      </c>
      <c r="AY15" s="155" t="s">
        <v>3</v>
      </c>
      <c r="AZ15" s="155" t="s">
        <v>3</v>
      </c>
      <c r="BA15" s="156" t="s">
        <v>3</v>
      </c>
    </row>
    <row r="16" spans="1:53" x14ac:dyDescent="0.25">
      <c r="A16" s="38">
        <v>13</v>
      </c>
      <c r="B16" s="139" t="s">
        <v>68</v>
      </c>
      <c r="C16" s="38" t="s">
        <v>138</v>
      </c>
      <c r="D16" s="38" t="s">
        <v>156</v>
      </c>
      <c r="E16" s="48">
        <v>820.599197</v>
      </c>
      <c r="F16" s="140" t="s">
        <v>3</v>
      </c>
      <c r="G16" s="140" t="s">
        <v>3</v>
      </c>
      <c r="H16" s="140" t="s">
        <v>3</v>
      </c>
      <c r="I16" s="160" t="s">
        <v>3</v>
      </c>
      <c r="J16" s="160" t="s">
        <v>3</v>
      </c>
      <c r="K16" s="143" t="s">
        <v>3</v>
      </c>
      <c r="L16" s="144">
        <v>17.887</v>
      </c>
      <c r="M16" s="144">
        <v>17.600999999999999</v>
      </c>
      <c r="N16" s="145">
        <v>17.914999999999999</v>
      </c>
      <c r="O16" s="145">
        <v>17.888000000000002</v>
      </c>
      <c r="P16" s="145">
        <v>17.91</v>
      </c>
      <c r="Q16" s="145">
        <v>17.850999999999999</v>
      </c>
      <c r="R16" s="145">
        <v>17.972999999999999</v>
      </c>
      <c r="S16" s="145" t="s">
        <v>3</v>
      </c>
      <c r="T16" s="145">
        <v>17.616</v>
      </c>
      <c r="U16" s="145" t="s">
        <v>3</v>
      </c>
      <c r="V16" s="144">
        <v>17.879000000000001</v>
      </c>
      <c r="W16" s="157">
        <v>17.829000000000001</v>
      </c>
      <c r="X16" s="157">
        <v>17.768000000000001</v>
      </c>
      <c r="Y16" s="157" t="s">
        <v>3</v>
      </c>
      <c r="Z16" s="158">
        <v>18.100000000000001</v>
      </c>
      <c r="AA16" s="148" t="s">
        <v>3</v>
      </c>
      <c r="AB16" s="148" t="s">
        <v>3</v>
      </c>
      <c r="AC16" s="159">
        <v>17.890999999999998</v>
      </c>
      <c r="AD16" s="149" t="s">
        <v>3</v>
      </c>
      <c r="AE16" s="150">
        <v>13.544</v>
      </c>
      <c r="AF16" s="150" t="s">
        <v>3</v>
      </c>
      <c r="AG16" s="150" t="s">
        <v>3</v>
      </c>
      <c r="AH16" s="150">
        <v>13.56</v>
      </c>
      <c r="AI16" s="151">
        <v>15.2213666666667</v>
      </c>
      <c r="AJ16" s="151" t="s">
        <v>3</v>
      </c>
      <c r="AK16" s="151">
        <v>15.2214833333333</v>
      </c>
      <c r="AL16" s="151">
        <v>15.19195</v>
      </c>
      <c r="AM16" s="151">
        <v>15.064299999999999</v>
      </c>
      <c r="AN16" s="152" t="s">
        <v>3</v>
      </c>
      <c r="AO16" s="152" t="s">
        <v>3</v>
      </c>
      <c r="AP16" s="152" t="s">
        <v>3</v>
      </c>
      <c r="AQ16" s="152" t="s">
        <v>3</v>
      </c>
      <c r="AR16" s="152" t="s">
        <v>3</v>
      </c>
      <c r="AS16" s="153" t="s">
        <v>3</v>
      </c>
      <c r="AT16" s="153">
        <v>32.581000000000003</v>
      </c>
      <c r="AU16" s="153">
        <v>33.86</v>
      </c>
      <c r="AV16" s="153">
        <v>34.295000000000002</v>
      </c>
      <c r="AW16" s="154" t="s">
        <v>3</v>
      </c>
      <c r="AX16" s="154" t="s">
        <v>3</v>
      </c>
      <c r="AY16" s="155" t="s">
        <v>3</v>
      </c>
      <c r="AZ16" s="155" t="s">
        <v>3</v>
      </c>
      <c r="BA16" s="156" t="s">
        <v>3</v>
      </c>
    </row>
    <row r="17" spans="1:53" x14ac:dyDescent="0.25">
      <c r="A17" s="38">
        <v>14</v>
      </c>
      <c r="B17" s="139" t="s">
        <v>69</v>
      </c>
      <c r="C17" s="38" t="s">
        <v>138</v>
      </c>
      <c r="D17" s="38" t="s">
        <v>157</v>
      </c>
      <c r="E17" s="48">
        <v>864.62541199999998</v>
      </c>
      <c r="F17" s="140" t="s">
        <v>3</v>
      </c>
      <c r="G17" s="140" t="s">
        <v>3</v>
      </c>
      <c r="H17" s="140" t="s">
        <v>3</v>
      </c>
      <c r="I17" s="160" t="s">
        <v>3</v>
      </c>
      <c r="J17" s="160" t="s">
        <v>3</v>
      </c>
      <c r="K17" s="143" t="s">
        <v>3</v>
      </c>
      <c r="L17" s="144" t="s">
        <v>3</v>
      </c>
      <c r="M17" s="144">
        <v>17.600999999999999</v>
      </c>
      <c r="N17" s="145">
        <v>17.914999999999999</v>
      </c>
      <c r="O17" s="145">
        <v>17.837</v>
      </c>
      <c r="P17" s="145">
        <v>17.91</v>
      </c>
      <c r="Q17" s="144">
        <v>17.902000000000001</v>
      </c>
      <c r="R17" s="145">
        <v>17.972999999999999</v>
      </c>
      <c r="S17" s="145" t="s">
        <v>3</v>
      </c>
      <c r="T17" s="144">
        <v>17.616</v>
      </c>
      <c r="U17" s="145" t="s">
        <v>3</v>
      </c>
      <c r="V17" s="144">
        <v>17.879000000000001</v>
      </c>
      <c r="W17" s="157">
        <v>17.829000000000001</v>
      </c>
      <c r="X17" s="157">
        <v>17.759</v>
      </c>
      <c r="Y17" s="157" t="s">
        <v>3</v>
      </c>
      <c r="Z17" s="158">
        <v>18.100000000000001</v>
      </c>
      <c r="AA17" s="148" t="s">
        <v>3</v>
      </c>
      <c r="AB17" s="148" t="s">
        <v>3</v>
      </c>
      <c r="AC17" s="159">
        <v>17.919</v>
      </c>
      <c r="AD17" s="149" t="s">
        <v>3</v>
      </c>
      <c r="AE17" s="150">
        <v>13.544</v>
      </c>
      <c r="AF17" s="150" t="s">
        <v>3</v>
      </c>
      <c r="AG17" s="150" t="s">
        <v>3</v>
      </c>
      <c r="AH17" s="150">
        <v>13.542999999999999</v>
      </c>
      <c r="AI17" s="151" t="s">
        <v>3</v>
      </c>
      <c r="AJ17" s="151" t="s">
        <v>3</v>
      </c>
      <c r="AK17" s="151">
        <v>15.211016666666699</v>
      </c>
      <c r="AL17" s="151" t="s">
        <v>3</v>
      </c>
      <c r="AM17" s="151">
        <v>15.0781166666667</v>
      </c>
      <c r="AN17" s="152" t="s">
        <v>3</v>
      </c>
      <c r="AO17" s="152" t="s">
        <v>3</v>
      </c>
      <c r="AP17" s="152" t="s">
        <v>3</v>
      </c>
      <c r="AQ17" s="152" t="s">
        <v>3</v>
      </c>
      <c r="AR17" s="152" t="s">
        <v>3</v>
      </c>
      <c r="AS17" s="153" t="s">
        <v>3</v>
      </c>
      <c r="AT17" s="153">
        <v>32.451999999999998</v>
      </c>
      <c r="AU17" s="153" t="s">
        <v>3</v>
      </c>
      <c r="AV17" s="153" t="s">
        <v>3</v>
      </c>
      <c r="AW17" s="154" t="s">
        <v>3</v>
      </c>
      <c r="AX17" s="154" t="s">
        <v>3</v>
      </c>
      <c r="AY17" s="155" t="s">
        <v>3</v>
      </c>
      <c r="AZ17" s="155" t="s">
        <v>3</v>
      </c>
      <c r="BA17" s="156" t="s">
        <v>3</v>
      </c>
    </row>
    <row r="18" spans="1:53" x14ac:dyDescent="0.25">
      <c r="A18" s="38">
        <v>15</v>
      </c>
      <c r="B18" s="139" t="s">
        <v>70</v>
      </c>
      <c r="C18" s="38" t="s">
        <v>138</v>
      </c>
      <c r="D18" s="38" t="s">
        <v>158</v>
      </c>
      <c r="E18" s="48">
        <v>908.65162699999996</v>
      </c>
      <c r="F18" s="140" t="s">
        <v>3</v>
      </c>
      <c r="G18" s="140" t="s">
        <v>3</v>
      </c>
      <c r="H18" s="140" t="s">
        <v>3</v>
      </c>
      <c r="I18" s="160" t="s">
        <v>3</v>
      </c>
      <c r="J18" s="160" t="s">
        <v>3</v>
      </c>
      <c r="K18" s="143" t="s">
        <v>3</v>
      </c>
      <c r="L18" s="144" t="s">
        <v>3</v>
      </c>
      <c r="M18" s="144">
        <v>17.600999999999999</v>
      </c>
      <c r="N18" s="145" t="s">
        <v>3</v>
      </c>
      <c r="O18" s="145" t="s">
        <v>3</v>
      </c>
      <c r="P18" s="145" t="s">
        <v>3</v>
      </c>
      <c r="Q18" s="145" t="s">
        <v>3</v>
      </c>
      <c r="R18" s="145">
        <v>17.972999999999999</v>
      </c>
      <c r="S18" s="145" t="s">
        <v>3</v>
      </c>
      <c r="T18" s="144">
        <v>17.565000000000001</v>
      </c>
      <c r="U18" s="145" t="s">
        <v>3</v>
      </c>
      <c r="V18" s="145" t="s">
        <v>3</v>
      </c>
      <c r="W18" s="146">
        <v>17.829000000000001</v>
      </c>
      <c r="X18" s="146">
        <v>17.768000000000001</v>
      </c>
      <c r="Y18" s="157" t="s">
        <v>3</v>
      </c>
      <c r="Z18" s="147">
        <v>18.100000000000001</v>
      </c>
      <c r="AA18" s="148" t="s">
        <v>3</v>
      </c>
      <c r="AB18" s="148" t="s">
        <v>3</v>
      </c>
      <c r="AC18" s="149">
        <v>17.919</v>
      </c>
      <c r="AD18" s="149" t="s">
        <v>3</v>
      </c>
      <c r="AE18" s="150">
        <v>13.544</v>
      </c>
      <c r="AF18" s="150" t="s">
        <v>3</v>
      </c>
      <c r="AG18" s="150" t="s">
        <v>3</v>
      </c>
      <c r="AH18" s="150">
        <v>13.542999999999999</v>
      </c>
      <c r="AI18" s="151" t="s">
        <v>3</v>
      </c>
      <c r="AJ18" s="151" t="s">
        <v>3</v>
      </c>
      <c r="AK18" s="151" t="s">
        <v>3</v>
      </c>
      <c r="AL18" s="151" t="s">
        <v>3</v>
      </c>
      <c r="AM18" s="151" t="s">
        <v>3</v>
      </c>
      <c r="AN18" s="152" t="s">
        <v>3</v>
      </c>
      <c r="AO18" s="152" t="s">
        <v>3</v>
      </c>
      <c r="AP18" s="152" t="s">
        <v>3</v>
      </c>
      <c r="AQ18" s="152" t="s">
        <v>3</v>
      </c>
      <c r="AR18" s="152" t="s">
        <v>3</v>
      </c>
      <c r="AS18" s="153" t="s">
        <v>3</v>
      </c>
      <c r="AT18" s="153" t="s">
        <v>3</v>
      </c>
      <c r="AU18" s="153" t="s">
        <v>3</v>
      </c>
      <c r="AV18" s="153" t="s">
        <v>3</v>
      </c>
      <c r="AW18" s="154" t="s">
        <v>3</v>
      </c>
      <c r="AX18" s="154" t="s">
        <v>3</v>
      </c>
      <c r="AY18" s="155" t="s">
        <v>3</v>
      </c>
      <c r="AZ18" s="155" t="s">
        <v>3</v>
      </c>
      <c r="BA18" s="156" t="s">
        <v>3</v>
      </c>
    </row>
    <row r="19" spans="1:53" x14ac:dyDescent="0.25">
      <c r="A19" s="38">
        <v>16</v>
      </c>
      <c r="B19" s="139" t="s">
        <v>71</v>
      </c>
      <c r="C19" s="38" t="s">
        <v>138</v>
      </c>
      <c r="D19" s="38" t="s">
        <v>159</v>
      </c>
      <c r="E19" s="48">
        <v>952.67784200000006</v>
      </c>
      <c r="F19" s="140" t="s">
        <v>3</v>
      </c>
      <c r="G19" s="140" t="s">
        <v>3</v>
      </c>
      <c r="H19" s="140" t="s">
        <v>3</v>
      </c>
      <c r="I19" s="160" t="s">
        <v>3</v>
      </c>
      <c r="J19" s="160" t="s">
        <v>3</v>
      </c>
      <c r="K19" s="143" t="s">
        <v>3</v>
      </c>
      <c r="L19" s="144" t="s">
        <v>3</v>
      </c>
      <c r="M19" s="144">
        <v>17.55</v>
      </c>
      <c r="N19" s="145" t="s">
        <v>3</v>
      </c>
      <c r="O19" s="145" t="s">
        <v>3</v>
      </c>
      <c r="P19" s="145" t="s">
        <v>3</v>
      </c>
      <c r="Q19" s="145" t="s">
        <v>3</v>
      </c>
      <c r="R19" s="145">
        <v>18.024999999999999</v>
      </c>
      <c r="S19" s="145" t="s">
        <v>3</v>
      </c>
      <c r="T19" s="144">
        <v>17.565000000000001</v>
      </c>
      <c r="U19" s="145" t="s">
        <v>3</v>
      </c>
      <c r="V19" s="145" t="s">
        <v>3</v>
      </c>
      <c r="W19" s="146">
        <v>17.818999999999999</v>
      </c>
      <c r="X19" s="146">
        <v>17.768000000000001</v>
      </c>
      <c r="Y19" s="157" t="s">
        <v>3</v>
      </c>
      <c r="Z19" s="147">
        <v>18.100000000000001</v>
      </c>
      <c r="AA19" s="148" t="s">
        <v>3</v>
      </c>
      <c r="AB19" s="148" t="s">
        <v>3</v>
      </c>
      <c r="AC19" s="149">
        <v>17.863</v>
      </c>
      <c r="AD19" s="149" t="s">
        <v>3</v>
      </c>
      <c r="AE19" s="150">
        <v>13.526999999999999</v>
      </c>
      <c r="AF19" s="150" t="s">
        <v>3</v>
      </c>
      <c r="AG19" s="150" t="s">
        <v>3</v>
      </c>
      <c r="AH19" s="150" t="s">
        <v>3</v>
      </c>
      <c r="AI19" s="151" t="s">
        <v>3</v>
      </c>
      <c r="AJ19" s="151" t="s">
        <v>3</v>
      </c>
      <c r="AK19" s="151" t="s">
        <v>3</v>
      </c>
      <c r="AL19" s="151" t="s">
        <v>3</v>
      </c>
      <c r="AM19" s="151" t="s">
        <v>3</v>
      </c>
      <c r="AN19" s="152" t="s">
        <v>3</v>
      </c>
      <c r="AO19" s="152" t="s">
        <v>3</v>
      </c>
      <c r="AP19" s="152" t="s">
        <v>3</v>
      </c>
      <c r="AQ19" s="152" t="s">
        <v>3</v>
      </c>
      <c r="AR19" s="152" t="s">
        <v>3</v>
      </c>
      <c r="AS19" s="153" t="s">
        <v>3</v>
      </c>
      <c r="AT19" s="153" t="s">
        <v>3</v>
      </c>
      <c r="AU19" s="153" t="s">
        <v>3</v>
      </c>
      <c r="AV19" s="153" t="s">
        <v>3</v>
      </c>
      <c r="AW19" s="154" t="s">
        <v>3</v>
      </c>
      <c r="AX19" s="154" t="s">
        <v>3</v>
      </c>
      <c r="AY19" s="155" t="s">
        <v>3</v>
      </c>
      <c r="AZ19" s="155" t="s">
        <v>3</v>
      </c>
      <c r="BA19" s="156" t="s">
        <v>3</v>
      </c>
    </row>
    <row r="20" spans="1:53" x14ac:dyDescent="0.25">
      <c r="A20" s="38">
        <v>17</v>
      </c>
      <c r="B20" s="139" t="s">
        <v>72</v>
      </c>
      <c r="C20" s="38" t="s">
        <v>138</v>
      </c>
      <c r="D20" s="38" t="s">
        <v>160</v>
      </c>
      <c r="E20" s="48">
        <v>996.70405600000004</v>
      </c>
      <c r="F20" s="140" t="s">
        <v>3</v>
      </c>
      <c r="G20" s="140" t="s">
        <v>3</v>
      </c>
      <c r="H20" s="140" t="s">
        <v>3</v>
      </c>
      <c r="I20" s="160" t="s">
        <v>3</v>
      </c>
      <c r="J20" s="160" t="s">
        <v>3</v>
      </c>
      <c r="K20" s="143" t="s">
        <v>3</v>
      </c>
      <c r="L20" s="144" t="s">
        <v>3</v>
      </c>
      <c r="M20" s="144">
        <v>17.55</v>
      </c>
      <c r="N20" s="145" t="s">
        <v>3</v>
      </c>
      <c r="O20" s="145" t="s">
        <v>3</v>
      </c>
      <c r="P20" s="145" t="s">
        <v>3</v>
      </c>
      <c r="Q20" s="145" t="s">
        <v>3</v>
      </c>
      <c r="R20" s="145" t="s">
        <v>3</v>
      </c>
      <c r="S20" s="145" t="s">
        <v>3</v>
      </c>
      <c r="T20" s="144">
        <v>17.565000000000001</v>
      </c>
      <c r="U20" s="145" t="s">
        <v>3</v>
      </c>
      <c r="V20" s="145" t="s">
        <v>3</v>
      </c>
      <c r="W20" s="146">
        <v>17.856999999999999</v>
      </c>
      <c r="X20" s="146">
        <v>16.9631166666667</v>
      </c>
      <c r="Y20" s="157" t="s">
        <v>3</v>
      </c>
      <c r="Z20" s="147">
        <v>18.065000000000001</v>
      </c>
      <c r="AA20" s="148" t="s">
        <v>3</v>
      </c>
      <c r="AB20" s="148" t="s">
        <v>3</v>
      </c>
      <c r="AC20" s="149">
        <v>17.863</v>
      </c>
      <c r="AD20" s="149" t="s">
        <v>3</v>
      </c>
      <c r="AE20" s="150">
        <v>13.526999999999999</v>
      </c>
      <c r="AF20" s="150" t="s">
        <v>3</v>
      </c>
      <c r="AG20" s="150" t="s">
        <v>3</v>
      </c>
      <c r="AH20" s="150" t="s">
        <v>3</v>
      </c>
      <c r="AI20" s="151" t="s">
        <v>3</v>
      </c>
      <c r="AJ20" s="151" t="s">
        <v>3</v>
      </c>
      <c r="AK20" s="151" t="s">
        <v>3</v>
      </c>
      <c r="AL20" s="151" t="s">
        <v>3</v>
      </c>
      <c r="AM20" s="151" t="s">
        <v>3</v>
      </c>
      <c r="AN20" s="152" t="s">
        <v>3</v>
      </c>
      <c r="AO20" s="152" t="s">
        <v>3</v>
      </c>
      <c r="AP20" s="152" t="s">
        <v>3</v>
      </c>
      <c r="AQ20" s="152" t="s">
        <v>3</v>
      </c>
      <c r="AR20" s="152" t="s">
        <v>3</v>
      </c>
      <c r="AS20" s="153" t="s">
        <v>3</v>
      </c>
      <c r="AT20" s="153" t="s">
        <v>3</v>
      </c>
      <c r="AU20" s="153" t="s">
        <v>3</v>
      </c>
      <c r="AV20" s="153" t="s">
        <v>3</v>
      </c>
      <c r="AW20" s="154" t="s">
        <v>3</v>
      </c>
      <c r="AX20" s="154" t="s">
        <v>3</v>
      </c>
      <c r="AY20" s="155" t="s">
        <v>3</v>
      </c>
      <c r="AZ20" s="155" t="s">
        <v>3</v>
      </c>
      <c r="BA20" s="156" t="s">
        <v>3</v>
      </c>
    </row>
    <row r="21" spans="1:53" x14ac:dyDescent="0.25">
      <c r="A21" s="38">
        <v>18</v>
      </c>
      <c r="B21" s="139" t="s">
        <v>73</v>
      </c>
      <c r="C21" s="38" t="s">
        <v>138</v>
      </c>
      <c r="D21" s="38" t="s">
        <v>161</v>
      </c>
      <c r="E21" s="48">
        <v>195.12270000000001</v>
      </c>
      <c r="F21" s="140" t="s">
        <v>3</v>
      </c>
      <c r="G21" s="140" t="s">
        <v>3</v>
      </c>
      <c r="H21" s="140" t="s">
        <v>3</v>
      </c>
      <c r="I21" s="160" t="s">
        <v>3</v>
      </c>
      <c r="J21" s="160" t="s">
        <v>3</v>
      </c>
      <c r="K21" s="143" t="s">
        <v>3</v>
      </c>
      <c r="L21" s="145">
        <v>2.4169999999999998</v>
      </c>
      <c r="M21" s="145">
        <v>2.4009999999999998</v>
      </c>
      <c r="N21" s="144">
        <v>2.3879999999999999</v>
      </c>
      <c r="O21" s="144">
        <v>2.4369999999999998</v>
      </c>
      <c r="P21" s="144">
        <v>2.395</v>
      </c>
      <c r="Q21" s="144">
        <v>2.3940000000000001</v>
      </c>
      <c r="R21" s="144">
        <v>2.6680000000000001</v>
      </c>
      <c r="S21" s="144">
        <v>2.411</v>
      </c>
      <c r="T21" s="144">
        <v>2.4390000000000001</v>
      </c>
      <c r="U21" s="144">
        <v>2.3919999999999999</v>
      </c>
      <c r="V21" s="144">
        <v>2.4369999999999998</v>
      </c>
      <c r="W21" s="146">
        <v>2.0939999999999999</v>
      </c>
      <c r="X21" s="146">
        <v>2.129</v>
      </c>
      <c r="Y21" s="146" t="s">
        <v>3</v>
      </c>
      <c r="Z21" s="147">
        <v>2.355</v>
      </c>
      <c r="AA21" s="148">
        <v>2.2130000000000001</v>
      </c>
      <c r="AB21" s="148">
        <v>2.129</v>
      </c>
      <c r="AC21" s="149">
        <v>2.0499999999999998</v>
      </c>
      <c r="AD21" s="149" t="s">
        <v>3</v>
      </c>
      <c r="AE21" s="150">
        <v>3.1110000000000002</v>
      </c>
      <c r="AF21" s="150">
        <v>3.0579999999999998</v>
      </c>
      <c r="AG21" s="150">
        <v>3.0609999999999999</v>
      </c>
      <c r="AH21" s="150">
        <v>3.0939999999999999</v>
      </c>
      <c r="AI21" s="151">
        <v>2.35876666666667</v>
      </c>
      <c r="AJ21" s="151">
        <v>2.306</v>
      </c>
      <c r="AK21" s="151">
        <v>2.3588166666666699</v>
      </c>
      <c r="AL21" s="161">
        <v>2.3068166666666698</v>
      </c>
      <c r="AM21" s="161" t="s">
        <v>3</v>
      </c>
      <c r="AN21" s="152" t="s">
        <v>3</v>
      </c>
      <c r="AO21" s="152" t="s">
        <v>3</v>
      </c>
      <c r="AP21" s="152" t="s">
        <v>3</v>
      </c>
      <c r="AQ21" s="152" t="s">
        <v>3</v>
      </c>
      <c r="AR21" s="152" t="s">
        <v>3</v>
      </c>
      <c r="AS21" s="153" t="s">
        <v>3</v>
      </c>
      <c r="AT21" s="153" t="s">
        <v>3</v>
      </c>
      <c r="AU21" s="153" t="s">
        <v>3</v>
      </c>
      <c r="AV21" s="153" t="s">
        <v>3</v>
      </c>
      <c r="AW21" s="154" t="s">
        <v>3</v>
      </c>
      <c r="AX21" s="154" t="s">
        <v>3</v>
      </c>
      <c r="AY21" s="155" t="s">
        <v>3</v>
      </c>
      <c r="AZ21" s="155" t="s">
        <v>3</v>
      </c>
      <c r="BA21" s="156" t="s">
        <v>3</v>
      </c>
    </row>
    <row r="22" spans="1:53" x14ac:dyDescent="0.25">
      <c r="A22" s="38">
        <v>19</v>
      </c>
      <c r="B22" s="139" t="s">
        <v>74</v>
      </c>
      <c r="C22" s="38" t="s">
        <v>138</v>
      </c>
      <c r="D22" s="38" t="s">
        <v>162</v>
      </c>
      <c r="E22" s="48">
        <v>239.14891499999999</v>
      </c>
      <c r="F22" s="140">
        <f>472.85/60</f>
        <v>7.8808333333333334</v>
      </c>
      <c r="G22" s="140">
        <v>7.8875333333333302</v>
      </c>
      <c r="H22" s="140">
        <v>7.8739999999999997</v>
      </c>
      <c r="I22" s="160" t="s">
        <v>3</v>
      </c>
      <c r="J22" s="160" t="s">
        <v>3</v>
      </c>
      <c r="K22" s="143">
        <v>8.7409999999999997</v>
      </c>
      <c r="L22" s="145">
        <v>3.0430000000000001</v>
      </c>
      <c r="M22" s="145">
        <v>3.0670000000000002</v>
      </c>
      <c r="N22" s="144">
        <v>3.05</v>
      </c>
      <c r="O22" s="144">
        <v>3.0449999999999999</v>
      </c>
      <c r="P22" s="144">
        <v>3.0529999999999999</v>
      </c>
      <c r="Q22" s="144">
        <v>3.056</v>
      </c>
      <c r="R22" s="144">
        <v>3.282</v>
      </c>
      <c r="S22" s="144">
        <v>3.0609999999999999</v>
      </c>
      <c r="T22" s="144">
        <v>3.0449999999999999</v>
      </c>
      <c r="U22" s="144">
        <v>3.0939999999999999</v>
      </c>
      <c r="V22" s="144">
        <v>3.0979999999999999</v>
      </c>
      <c r="W22" s="146">
        <v>3.012</v>
      </c>
      <c r="X22" s="146">
        <v>2.9660000000000002</v>
      </c>
      <c r="Y22" s="146" t="s">
        <v>3</v>
      </c>
      <c r="Z22" s="147">
        <v>3.2440000000000002</v>
      </c>
      <c r="AA22" s="148">
        <v>3.3</v>
      </c>
      <c r="AB22" s="148">
        <v>3.23</v>
      </c>
      <c r="AC22" s="149">
        <v>2.9540000000000002</v>
      </c>
      <c r="AD22" s="149" t="s">
        <v>3</v>
      </c>
      <c r="AE22" s="150">
        <v>3.5110000000000001</v>
      </c>
      <c r="AF22" s="150">
        <v>3.4580000000000002</v>
      </c>
      <c r="AG22" s="150">
        <v>3.4769999999999999</v>
      </c>
      <c r="AH22" s="150">
        <v>3.4940000000000002</v>
      </c>
      <c r="AI22" s="151">
        <v>3.0210499999999998</v>
      </c>
      <c r="AJ22" s="151">
        <v>2.9622666666666699</v>
      </c>
      <c r="AK22" s="151">
        <v>3.02111666666667</v>
      </c>
      <c r="AL22" s="161">
        <v>2.96225</v>
      </c>
      <c r="AM22" s="161" t="s">
        <v>3</v>
      </c>
      <c r="AN22" s="152" t="s">
        <v>3</v>
      </c>
      <c r="AO22" s="152" t="s">
        <v>3</v>
      </c>
      <c r="AP22" s="152" t="s">
        <v>3</v>
      </c>
      <c r="AQ22" s="152" t="s">
        <v>3</v>
      </c>
      <c r="AR22" s="152" t="s">
        <v>3</v>
      </c>
      <c r="AS22" s="153">
        <v>11.909000000000001</v>
      </c>
      <c r="AT22" s="153">
        <v>11.329000000000001</v>
      </c>
      <c r="AU22" s="153">
        <v>11.856</v>
      </c>
      <c r="AV22" s="153">
        <v>12.226000000000001</v>
      </c>
      <c r="AW22" s="154">
        <v>4.3984030000000001</v>
      </c>
      <c r="AX22" s="154" t="s">
        <v>3</v>
      </c>
      <c r="AY22" s="155">
        <v>4.4130000000000003</v>
      </c>
      <c r="AZ22" s="155">
        <v>4.3834900000000001</v>
      </c>
      <c r="BA22" s="156" t="s">
        <v>3</v>
      </c>
    </row>
    <row r="23" spans="1:53" x14ac:dyDescent="0.25">
      <c r="A23" s="38">
        <v>20</v>
      </c>
      <c r="B23" s="139" t="s">
        <v>75</v>
      </c>
      <c r="C23" s="38" t="s">
        <v>138</v>
      </c>
      <c r="D23" s="38" t="s">
        <v>163</v>
      </c>
      <c r="E23" s="48">
        <v>300.20167900000001</v>
      </c>
      <c r="F23" s="140">
        <f>494.34/60</f>
        <v>8.238999999999999</v>
      </c>
      <c r="G23" s="140">
        <v>8.2607666666666706</v>
      </c>
      <c r="H23" s="140">
        <v>8.2620000000000005</v>
      </c>
      <c r="I23" s="142" t="s">
        <v>3</v>
      </c>
      <c r="J23" s="160" t="s">
        <v>3</v>
      </c>
      <c r="K23" s="143">
        <v>11.5104666666667</v>
      </c>
      <c r="L23" s="145">
        <v>3.6669999999999998</v>
      </c>
      <c r="M23" s="145">
        <v>3.6709999999999998</v>
      </c>
      <c r="N23" s="144">
        <v>3.5459999999999998</v>
      </c>
      <c r="O23" s="144">
        <v>3.5449999999999999</v>
      </c>
      <c r="P23" s="144">
        <v>3.5569999999999999</v>
      </c>
      <c r="Q23" s="144">
        <v>3.5609999999999999</v>
      </c>
      <c r="R23" s="144">
        <v>3.786</v>
      </c>
      <c r="S23" s="144">
        <v>3.5630000000000002</v>
      </c>
      <c r="T23" s="144">
        <v>3.5910000000000002</v>
      </c>
      <c r="U23" s="144">
        <v>3.593</v>
      </c>
      <c r="V23" s="144">
        <v>3.6</v>
      </c>
      <c r="W23" s="146">
        <v>3.75</v>
      </c>
      <c r="X23" s="146">
        <v>3.6819999999999999</v>
      </c>
      <c r="Y23" s="146" t="s">
        <v>3</v>
      </c>
      <c r="Z23" s="147">
        <v>4.0220000000000002</v>
      </c>
      <c r="AA23" s="148">
        <v>4.117</v>
      </c>
      <c r="AB23" s="148">
        <v>3.9140000000000001</v>
      </c>
      <c r="AC23" s="149">
        <v>3.5840000000000001</v>
      </c>
      <c r="AD23" s="149" t="s">
        <v>3</v>
      </c>
      <c r="AE23" s="150">
        <v>3.8439999999999999</v>
      </c>
      <c r="AF23" s="150">
        <v>3.7919999999999998</v>
      </c>
      <c r="AG23" s="150">
        <v>3.794</v>
      </c>
      <c r="AH23" s="150">
        <v>3.794</v>
      </c>
      <c r="AI23" s="151">
        <v>3.6350166666666701</v>
      </c>
      <c r="AJ23" s="151">
        <v>3.58266666666667</v>
      </c>
      <c r="AK23" s="151">
        <v>3.6350833333333301</v>
      </c>
      <c r="AL23" s="161">
        <v>3.5827</v>
      </c>
      <c r="AM23" s="161">
        <v>3.3809666666666698</v>
      </c>
      <c r="AN23" s="152" t="s">
        <v>3</v>
      </c>
      <c r="AO23" s="152" t="s">
        <v>3</v>
      </c>
      <c r="AP23" s="152" t="s">
        <v>3</v>
      </c>
      <c r="AQ23" s="152" t="s">
        <v>3</v>
      </c>
      <c r="AR23" s="152" t="s">
        <v>3</v>
      </c>
      <c r="AS23" s="153">
        <v>12.618</v>
      </c>
      <c r="AT23" s="153">
        <v>12.023</v>
      </c>
      <c r="AU23" s="153">
        <v>12.566000000000001</v>
      </c>
      <c r="AV23" s="153">
        <v>12.936</v>
      </c>
      <c r="AW23" s="154">
        <v>5.58</v>
      </c>
      <c r="AX23" s="154" t="s">
        <v>3</v>
      </c>
      <c r="AY23" s="155">
        <v>5.59</v>
      </c>
      <c r="AZ23" s="155" t="s">
        <v>3</v>
      </c>
      <c r="BA23" s="156" t="s">
        <v>3</v>
      </c>
    </row>
    <row r="24" spans="1:53" x14ac:dyDescent="0.25">
      <c r="A24" s="38">
        <v>21</v>
      </c>
      <c r="B24" s="139" t="s">
        <v>76</v>
      </c>
      <c r="C24" s="38" t="s">
        <v>138</v>
      </c>
      <c r="D24" s="38" t="s">
        <v>164</v>
      </c>
      <c r="E24" s="48">
        <v>344.22789299999999</v>
      </c>
      <c r="F24" s="140">
        <f>494.34/60</f>
        <v>8.238999999999999</v>
      </c>
      <c r="G24" s="140">
        <v>8.2345166666666696</v>
      </c>
      <c r="H24" s="140">
        <v>8.2620000000000005</v>
      </c>
      <c r="I24" s="160" t="s">
        <v>3</v>
      </c>
      <c r="J24" s="160" t="s">
        <v>3</v>
      </c>
      <c r="K24" s="143">
        <v>13.188000000000001</v>
      </c>
      <c r="L24" s="145">
        <v>3.9260000000000002</v>
      </c>
      <c r="M24" s="145">
        <v>3.9209999999999998</v>
      </c>
      <c r="N24" s="144">
        <v>3.944</v>
      </c>
      <c r="O24" s="144">
        <v>3.94</v>
      </c>
      <c r="P24" s="144">
        <v>3.96</v>
      </c>
      <c r="Q24" s="144">
        <v>3.96</v>
      </c>
      <c r="R24" s="144">
        <v>4.085</v>
      </c>
      <c r="S24" s="144">
        <v>3.9660000000000002</v>
      </c>
      <c r="T24" s="144">
        <v>3.9830000000000001</v>
      </c>
      <c r="U24" s="144">
        <v>3.9420000000000002</v>
      </c>
      <c r="V24" s="144">
        <v>3.9460000000000002</v>
      </c>
      <c r="W24" s="146">
        <v>4.0940000000000003</v>
      </c>
      <c r="X24" s="146">
        <v>4.0309999999999997</v>
      </c>
      <c r="Y24" s="146">
        <v>4.0410000000000004</v>
      </c>
      <c r="Z24" s="147">
        <v>4.306</v>
      </c>
      <c r="AA24" s="148">
        <v>4.4269999999999996</v>
      </c>
      <c r="AB24" s="148">
        <v>4.3899999999999997</v>
      </c>
      <c r="AC24" s="149">
        <v>4.0469999999999997</v>
      </c>
      <c r="AD24" s="149" t="s">
        <v>3</v>
      </c>
      <c r="AE24" s="150">
        <v>4.1109999999999998</v>
      </c>
      <c r="AF24" s="150">
        <v>4.0579999999999998</v>
      </c>
      <c r="AG24" s="150">
        <v>4.0270000000000001</v>
      </c>
      <c r="AH24" s="150">
        <v>4.0439999999999996</v>
      </c>
      <c r="AI24" s="151">
        <v>4.1966000000000001</v>
      </c>
      <c r="AJ24" s="151">
        <v>4.1442500000000004</v>
      </c>
      <c r="AK24" s="151">
        <v>4.1966666666666699</v>
      </c>
      <c r="AL24" s="161">
        <v>4.1553000000000004</v>
      </c>
      <c r="AM24" s="161">
        <v>3.9828666666666699</v>
      </c>
      <c r="AN24" s="152" t="s">
        <v>3</v>
      </c>
      <c r="AO24" s="152" t="s">
        <v>3</v>
      </c>
      <c r="AP24" s="152" t="s">
        <v>3</v>
      </c>
      <c r="AQ24" s="152" t="s">
        <v>3</v>
      </c>
      <c r="AR24" s="152" t="s">
        <v>3</v>
      </c>
      <c r="AS24" s="153">
        <v>13.196999999999999</v>
      </c>
      <c r="AT24" s="153">
        <v>12.585000000000001</v>
      </c>
      <c r="AU24" s="153">
        <v>13.118</v>
      </c>
      <c r="AV24" s="153">
        <v>13.502000000000001</v>
      </c>
      <c r="AW24" s="154">
        <v>6.42</v>
      </c>
      <c r="AX24" s="154" t="s">
        <v>3</v>
      </c>
      <c r="AY24" s="155">
        <v>6.43</v>
      </c>
      <c r="AZ24" s="155">
        <v>6.43</v>
      </c>
      <c r="BA24" s="156" t="s">
        <v>3</v>
      </c>
    </row>
    <row r="25" spans="1:53" x14ac:dyDescent="0.25">
      <c r="A25" s="38">
        <v>22</v>
      </c>
      <c r="B25" s="139" t="s">
        <v>77</v>
      </c>
      <c r="C25" s="38" t="s">
        <v>138</v>
      </c>
      <c r="D25" s="38" t="s">
        <v>165</v>
      </c>
      <c r="E25" s="48">
        <v>388.25410799999997</v>
      </c>
      <c r="F25" s="140">
        <f>499.234/60</f>
        <v>8.3205666666666662</v>
      </c>
      <c r="G25" s="140">
        <v>8.3422333333333292</v>
      </c>
      <c r="H25" s="140">
        <v>8.3279999999999994</v>
      </c>
      <c r="I25" s="160" t="s">
        <v>3</v>
      </c>
      <c r="J25" s="160" t="s">
        <v>3</v>
      </c>
      <c r="K25" s="143">
        <v>14.1938</v>
      </c>
      <c r="L25" s="144">
        <v>4.2370000000000001</v>
      </c>
      <c r="M25" s="145">
        <v>4.2729999999999997</v>
      </c>
      <c r="N25" s="144">
        <v>4.242</v>
      </c>
      <c r="O25" s="144">
        <v>4.29</v>
      </c>
      <c r="P25" s="144">
        <v>4.2619999999999996</v>
      </c>
      <c r="Q25" s="144">
        <v>4.2640000000000002</v>
      </c>
      <c r="R25" s="144">
        <v>4.3840000000000003</v>
      </c>
      <c r="S25" s="144">
        <v>4.2640000000000002</v>
      </c>
      <c r="T25" s="144">
        <v>4.28</v>
      </c>
      <c r="U25" s="144">
        <v>4.2880000000000003</v>
      </c>
      <c r="V25" s="144">
        <v>4.3019999999999996</v>
      </c>
      <c r="W25" s="146">
        <v>4.4459999999999997</v>
      </c>
      <c r="X25" s="146">
        <v>4.3810000000000002</v>
      </c>
      <c r="Y25" s="146">
        <v>4.3869999999999996</v>
      </c>
      <c r="Z25" s="147">
        <v>4.6550000000000002</v>
      </c>
      <c r="AA25" s="148">
        <v>4.78</v>
      </c>
      <c r="AB25" s="148">
        <v>4.7469999999999999</v>
      </c>
      <c r="AC25" s="149">
        <v>4.4240000000000004</v>
      </c>
      <c r="AD25" s="149">
        <v>4.3860000000000001</v>
      </c>
      <c r="AE25" s="150">
        <v>4.2779999999999996</v>
      </c>
      <c r="AF25" s="150">
        <v>4.2750000000000004</v>
      </c>
      <c r="AG25" s="150">
        <v>4.2610000000000001</v>
      </c>
      <c r="AH25" s="150">
        <v>4.2610000000000001</v>
      </c>
      <c r="AI25" s="151">
        <v>4.70583333333333</v>
      </c>
      <c r="AJ25" s="151">
        <v>4.6534833333333303</v>
      </c>
      <c r="AK25" s="151">
        <v>4.6954166666666701</v>
      </c>
      <c r="AL25" s="161">
        <v>4.6589</v>
      </c>
      <c r="AM25" s="161">
        <v>4.4743000000000004</v>
      </c>
      <c r="AN25" s="152" t="s">
        <v>3</v>
      </c>
      <c r="AO25" s="152" t="s">
        <v>3</v>
      </c>
      <c r="AP25" s="152" t="s">
        <v>3</v>
      </c>
      <c r="AQ25" s="152" t="s">
        <v>3</v>
      </c>
      <c r="AR25" s="152" t="s">
        <v>3</v>
      </c>
      <c r="AS25" s="153">
        <v>13.686</v>
      </c>
      <c r="AT25" s="153">
        <v>13.077</v>
      </c>
      <c r="AU25" s="153">
        <v>13.637</v>
      </c>
      <c r="AV25" s="153">
        <v>14.007999999999999</v>
      </c>
      <c r="AW25" s="154">
        <v>7.04</v>
      </c>
      <c r="AX25" s="154" t="s">
        <v>3</v>
      </c>
      <c r="AY25" s="155">
        <v>7.05</v>
      </c>
      <c r="AZ25" s="155" t="s">
        <v>3</v>
      </c>
      <c r="BA25" s="156" t="s">
        <v>3</v>
      </c>
    </row>
    <row r="26" spans="1:53" x14ac:dyDescent="0.25">
      <c r="A26" s="38">
        <v>23</v>
      </c>
      <c r="B26" s="139" t="s">
        <v>78</v>
      </c>
      <c r="C26" s="38" t="s">
        <v>138</v>
      </c>
      <c r="D26" s="38" t="s">
        <v>166</v>
      </c>
      <c r="E26" s="48">
        <v>432.28032300000001</v>
      </c>
      <c r="F26" s="140">
        <f>504.413/60</f>
        <v>8.406883333333333</v>
      </c>
      <c r="G26" s="140">
        <v>8.3991833333333297</v>
      </c>
      <c r="H26" s="140">
        <v>8.3989999999999991</v>
      </c>
      <c r="I26" s="160" t="s">
        <v>3</v>
      </c>
      <c r="J26" s="160" t="s">
        <v>3</v>
      </c>
      <c r="K26" s="143">
        <v>14.93765</v>
      </c>
      <c r="L26" s="144">
        <v>4.5490000000000004</v>
      </c>
      <c r="M26" s="144">
        <v>4.5229999999999997</v>
      </c>
      <c r="N26" s="144">
        <v>4.49</v>
      </c>
      <c r="O26" s="144">
        <v>4.5350000000000001</v>
      </c>
      <c r="P26" s="144">
        <v>4.508</v>
      </c>
      <c r="Q26" s="144">
        <v>4.5640000000000001</v>
      </c>
      <c r="R26" s="144">
        <v>4.633</v>
      </c>
      <c r="S26" s="144">
        <v>4.516</v>
      </c>
      <c r="T26" s="144">
        <v>4.5259999999999998</v>
      </c>
      <c r="U26" s="144">
        <v>4.5339999999999998</v>
      </c>
      <c r="V26" s="144">
        <v>4.548</v>
      </c>
      <c r="W26" s="146">
        <v>4.7560000000000002</v>
      </c>
      <c r="X26" s="146">
        <v>4.6630000000000003</v>
      </c>
      <c r="Y26" s="146">
        <v>4.6879999999999997</v>
      </c>
      <c r="Z26" s="147">
        <v>4.9420000000000002</v>
      </c>
      <c r="AA26" s="148">
        <v>5.0679999999999996</v>
      </c>
      <c r="AB26" s="148">
        <v>5.0449999999999999</v>
      </c>
      <c r="AC26" s="149">
        <v>4.7249999999999996</v>
      </c>
      <c r="AD26" s="149">
        <v>4.6639999999999997</v>
      </c>
      <c r="AE26" s="150">
        <v>4.4610000000000003</v>
      </c>
      <c r="AF26" s="150">
        <v>4.4420000000000002</v>
      </c>
      <c r="AG26" s="150">
        <v>4.4269999999999996</v>
      </c>
      <c r="AH26" s="150">
        <v>4.4269999999999996</v>
      </c>
      <c r="AI26" s="151">
        <v>5.1521999999999997</v>
      </c>
      <c r="AJ26" s="151">
        <v>5.0893666666666704</v>
      </c>
      <c r="AK26" s="151">
        <v>5.14178333333333</v>
      </c>
      <c r="AL26" s="161">
        <v>5.1071999999999997</v>
      </c>
      <c r="AM26" s="161">
        <v>4.9519166666666701</v>
      </c>
      <c r="AN26" s="162">
        <v>2.8511545658111599</v>
      </c>
      <c r="AO26" s="162">
        <v>2.8472845554351802</v>
      </c>
      <c r="AP26" s="162" t="s">
        <v>3</v>
      </c>
      <c r="AQ26" s="162" t="s">
        <v>3</v>
      </c>
      <c r="AR26" s="162">
        <v>2.8470401763915998</v>
      </c>
      <c r="AS26" s="153">
        <v>14.122999999999999</v>
      </c>
      <c r="AT26" s="153">
        <v>13.491</v>
      </c>
      <c r="AU26" s="153">
        <v>14.081</v>
      </c>
      <c r="AV26" s="153">
        <v>14.438000000000001</v>
      </c>
      <c r="AW26" s="154">
        <v>7.51</v>
      </c>
      <c r="AX26" s="154" t="s">
        <v>3</v>
      </c>
      <c r="AY26" s="155">
        <v>7.52</v>
      </c>
      <c r="AZ26" s="155" t="s">
        <v>3</v>
      </c>
      <c r="BA26" s="156" t="s">
        <v>3</v>
      </c>
    </row>
    <row r="27" spans="1:53" x14ac:dyDescent="0.25">
      <c r="A27" s="38">
        <v>24</v>
      </c>
      <c r="B27" s="139" t="s">
        <v>79</v>
      </c>
      <c r="C27" s="38" t="s">
        <v>138</v>
      </c>
      <c r="D27" s="38" t="s">
        <v>167</v>
      </c>
      <c r="E27" s="48">
        <v>476.30653799999999</v>
      </c>
      <c r="F27" s="140">
        <f>507.774/60</f>
        <v>8.4628999999999994</v>
      </c>
      <c r="G27" s="140">
        <v>8.4810333333333308</v>
      </c>
      <c r="H27" s="140">
        <v>8.4700000000000006</v>
      </c>
      <c r="I27" s="160" t="s">
        <v>3</v>
      </c>
      <c r="J27" s="160" t="s">
        <v>3</v>
      </c>
      <c r="K27" s="143">
        <v>15.4944666666667</v>
      </c>
      <c r="L27" s="144">
        <v>4.7560000000000002</v>
      </c>
      <c r="M27" s="145">
        <v>4.7229999999999999</v>
      </c>
      <c r="N27" s="144">
        <v>4.7370000000000001</v>
      </c>
      <c r="O27" s="144">
        <v>4.782</v>
      </c>
      <c r="P27" s="144">
        <v>4.7560000000000002</v>
      </c>
      <c r="Q27" s="144">
        <v>4.76</v>
      </c>
      <c r="R27" s="144">
        <v>4.835</v>
      </c>
      <c r="S27" s="144">
        <v>4.7619999999999996</v>
      </c>
      <c r="T27" s="144">
        <v>4.7720000000000002</v>
      </c>
      <c r="U27" s="144">
        <v>4.782</v>
      </c>
      <c r="V27" s="144">
        <v>4.7949999999999999</v>
      </c>
      <c r="W27" s="146">
        <v>4.9889999999999999</v>
      </c>
      <c r="X27" s="146">
        <v>4.9180000000000001</v>
      </c>
      <c r="Y27" s="146">
        <v>4.915</v>
      </c>
      <c r="Z27" s="147">
        <v>5.1870000000000003</v>
      </c>
      <c r="AA27" s="148">
        <v>5.3259999999999996</v>
      </c>
      <c r="AB27" s="148">
        <v>5.282</v>
      </c>
      <c r="AC27" s="149">
        <v>4.9409999999999998</v>
      </c>
      <c r="AD27" s="149">
        <v>4.915</v>
      </c>
      <c r="AE27" s="150">
        <v>4.5780000000000003</v>
      </c>
      <c r="AF27" s="150">
        <v>4.6079999999999997</v>
      </c>
      <c r="AG27" s="150">
        <v>4.6109999999999998</v>
      </c>
      <c r="AH27" s="150">
        <v>4.5940000000000003</v>
      </c>
      <c r="AI27" s="151">
        <v>5.5461833333333299</v>
      </c>
      <c r="AJ27" s="151">
        <v>5.4874000000000001</v>
      </c>
      <c r="AK27" s="151">
        <v>5.5462499999999997</v>
      </c>
      <c r="AL27" s="161">
        <v>5.5140833333333301</v>
      </c>
      <c r="AM27" s="161">
        <v>5.3604833333333302</v>
      </c>
      <c r="AN27" s="162">
        <v>3.1630058288574201</v>
      </c>
      <c r="AO27" s="162" t="s">
        <v>3</v>
      </c>
      <c r="AP27" s="162" t="s">
        <v>3</v>
      </c>
      <c r="AQ27" s="162" t="s">
        <v>3</v>
      </c>
      <c r="AR27" s="162">
        <v>3.09890508651733</v>
      </c>
      <c r="AS27" s="153">
        <v>14.531000000000001</v>
      </c>
      <c r="AT27" s="153">
        <v>13.874000000000001</v>
      </c>
      <c r="AU27" s="153">
        <v>14.484999999999999</v>
      </c>
      <c r="AV27" s="153">
        <v>14.85</v>
      </c>
      <c r="AW27" s="154">
        <v>7.89</v>
      </c>
      <c r="AX27" s="154" t="s">
        <v>3</v>
      </c>
      <c r="AY27" s="155">
        <v>7.9</v>
      </c>
      <c r="AZ27" s="155" t="s">
        <v>3</v>
      </c>
      <c r="BA27" s="156" t="s">
        <v>3</v>
      </c>
    </row>
    <row r="28" spans="1:53" x14ac:dyDescent="0.25">
      <c r="A28" s="38">
        <v>25</v>
      </c>
      <c r="B28" s="139" t="s">
        <v>80</v>
      </c>
      <c r="C28" s="38" t="s">
        <v>138</v>
      </c>
      <c r="D28" s="38" t="s">
        <v>168</v>
      </c>
      <c r="E28" s="48">
        <v>520.33275200000003</v>
      </c>
      <c r="F28" s="140">
        <f>511.238/60</f>
        <v>8.5206333333333326</v>
      </c>
      <c r="G28" s="140">
        <v>8.5372000000000003</v>
      </c>
      <c r="H28" s="140">
        <v>8.5399999999999991</v>
      </c>
      <c r="I28" s="160" t="s">
        <v>3</v>
      </c>
      <c r="J28" s="160" t="s">
        <v>3</v>
      </c>
      <c r="K28" s="143">
        <v>15.976000000000001</v>
      </c>
      <c r="L28" s="144">
        <v>4.9660000000000002</v>
      </c>
      <c r="M28" s="145">
        <v>4.9180000000000001</v>
      </c>
      <c r="N28" s="144">
        <v>4.9349999999999996</v>
      </c>
      <c r="O28" s="144">
        <v>4.9800000000000004</v>
      </c>
      <c r="P28" s="144">
        <v>4.9539999999999997</v>
      </c>
      <c r="Q28" s="144">
        <v>4.9569999999999999</v>
      </c>
      <c r="R28" s="144">
        <v>5.0330000000000004</v>
      </c>
      <c r="S28" s="144">
        <v>4.9569999999999999</v>
      </c>
      <c r="T28" s="144">
        <v>4.9710000000000001</v>
      </c>
      <c r="U28" s="144">
        <v>4.9790000000000001</v>
      </c>
      <c r="V28" s="144">
        <v>4.992</v>
      </c>
      <c r="W28" s="146">
        <v>5.2009999999999996</v>
      </c>
      <c r="X28" s="146">
        <v>5.117</v>
      </c>
      <c r="Y28" s="146">
        <v>5.1219999999999999</v>
      </c>
      <c r="Z28" s="147">
        <v>5.3940000000000001</v>
      </c>
      <c r="AA28" s="148">
        <v>5.5289999999999999</v>
      </c>
      <c r="AB28" s="148">
        <v>5.49</v>
      </c>
      <c r="AC28" s="149">
        <v>5.157</v>
      </c>
      <c r="AD28" s="149">
        <v>5.1100000000000003</v>
      </c>
      <c r="AE28" s="150">
        <v>4.7439999999999998</v>
      </c>
      <c r="AF28" s="150">
        <v>4.758</v>
      </c>
      <c r="AG28" s="150">
        <v>4.7439999999999998</v>
      </c>
      <c r="AH28" s="150">
        <v>4.7439999999999998</v>
      </c>
      <c r="AI28" s="151">
        <v>5.9023333333333303</v>
      </c>
      <c r="AJ28" s="151">
        <v>5.83951666666667</v>
      </c>
      <c r="AK28" s="151">
        <v>5.8919166666666696</v>
      </c>
      <c r="AL28" s="161">
        <v>5.8593000000000002</v>
      </c>
      <c r="AM28" s="161">
        <v>5.7276333333333298</v>
      </c>
      <c r="AN28" s="162">
        <v>3.4538993835449201</v>
      </c>
      <c r="AO28" s="162" t="s">
        <v>3</v>
      </c>
      <c r="AP28" s="162" t="s">
        <v>3</v>
      </c>
      <c r="AQ28" s="162" t="s">
        <v>3</v>
      </c>
      <c r="AR28" s="162">
        <v>3.3394100666046098</v>
      </c>
      <c r="AS28" s="153">
        <v>14.893000000000001</v>
      </c>
      <c r="AT28" s="153">
        <v>14.243</v>
      </c>
      <c r="AU28" s="153">
        <v>14.833</v>
      </c>
      <c r="AV28" s="153">
        <v>15.192</v>
      </c>
      <c r="AW28" s="154">
        <v>8.1999999999999993</v>
      </c>
      <c r="AX28" s="154" t="s">
        <v>3</v>
      </c>
      <c r="AY28" s="155">
        <v>8.1999999999999993</v>
      </c>
      <c r="AZ28" s="155" t="s">
        <v>3</v>
      </c>
      <c r="BA28" s="156" t="s">
        <v>3</v>
      </c>
    </row>
    <row r="29" spans="1:53" x14ac:dyDescent="0.25">
      <c r="A29" s="38">
        <v>26</v>
      </c>
      <c r="B29" s="139" t="s">
        <v>81</v>
      </c>
      <c r="C29" s="38" t="s">
        <v>138</v>
      </c>
      <c r="D29" s="38" t="s">
        <v>169</v>
      </c>
      <c r="E29" s="48">
        <v>564.35896700000001</v>
      </c>
      <c r="F29" s="140">
        <f>8.578</f>
        <v>8.5779999999999994</v>
      </c>
      <c r="G29" s="140">
        <v>8.5660000000000007</v>
      </c>
      <c r="H29" s="140">
        <v>8.5739999999999998</v>
      </c>
      <c r="I29" s="160" t="s">
        <v>3</v>
      </c>
      <c r="J29" s="160" t="s">
        <v>3</v>
      </c>
      <c r="K29" s="143">
        <v>16.382000000000001</v>
      </c>
      <c r="L29" s="144">
        <v>5.1210000000000004</v>
      </c>
      <c r="M29" s="145">
        <v>5.1219999999999999</v>
      </c>
      <c r="N29" s="144">
        <v>5.0839999999999996</v>
      </c>
      <c r="O29" s="144">
        <v>5.1280000000000001</v>
      </c>
      <c r="P29" s="144">
        <v>5.1079999999999997</v>
      </c>
      <c r="Q29" s="144">
        <v>5.1559999999999997</v>
      </c>
      <c r="R29" s="144">
        <v>5.2309999999999999</v>
      </c>
      <c r="S29" s="144">
        <v>5.1589999999999998</v>
      </c>
      <c r="T29" s="144">
        <v>5.1660000000000004</v>
      </c>
      <c r="U29" s="144">
        <v>5.1289999999999996</v>
      </c>
      <c r="V29" s="144">
        <v>5.1420000000000003</v>
      </c>
      <c r="W29" s="146">
        <v>5.3819999999999997</v>
      </c>
      <c r="X29" s="146">
        <v>5.29</v>
      </c>
      <c r="Y29" s="146">
        <v>5.3109999999999999</v>
      </c>
      <c r="Z29" s="147">
        <v>5.58</v>
      </c>
      <c r="AA29" s="148">
        <v>5.73</v>
      </c>
      <c r="AB29" s="148">
        <v>5.6980000000000004</v>
      </c>
      <c r="AC29" s="149">
        <v>5.3490000000000002</v>
      </c>
      <c r="AD29" s="149">
        <v>5.3049999999999997</v>
      </c>
      <c r="AE29" s="150">
        <v>4.8940000000000001</v>
      </c>
      <c r="AF29" s="150">
        <v>4.9080000000000004</v>
      </c>
      <c r="AG29" s="150">
        <v>4.8940000000000001</v>
      </c>
      <c r="AH29" s="150">
        <v>4.8940000000000001</v>
      </c>
      <c r="AI29" s="151">
        <v>6.2229999999999999</v>
      </c>
      <c r="AJ29" s="151">
        <v>6.1601999999999997</v>
      </c>
      <c r="AK29" s="151">
        <v>6.2125833333333302</v>
      </c>
      <c r="AL29" s="161">
        <v>6.1695166666666701</v>
      </c>
      <c r="AM29" s="161">
        <v>6.0671499999999998</v>
      </c>
      <c r="AN29" s="162">
        <v>3.7247688770294198</v>
      </c>
      <c r="AO29" s="162" t="s">
        <v>3</v>
      </c>
      <c r="AP29" s="162" t="s">
        <v>3</v>
      </c>
      <c r="AQ29" s="162" t="s">
        <v>3</v>
      </c>
      <c r="AR29" s="162" t="s">
        <v>3</v>
      </c>
      <c r="AS29" s="153">
        <v>15.195</v>
      </c>
      <c r="AT29" s="153">
        <v>14.534000000000001</v>
      </c>
      <c r="AU29" s="153">
        <v>15.132999999999999</v>
      </c>
      <c r="AV29" s="153">
        <v>15.516</v>
      </c>
      <c r="AW29" s="154">
        <v>8.4600000000000009</v>
      </c>
      <c r="AX29" s="154" t="s">
        <v>3</v>
      </c>
      <c r="AY29" s="155">
        <v>8.4700000000000006</v>
      </c>
      <c r="AZ29" s="155">
        <v>8.4600000000000009</v>
      </c>
      <c r="BA29" s="156" t="s">
        <v>3</v>
      </c>
    </row>
    <row r="30" spans="1:53" x14ac:dyDescent="0.25">
      <c r="A30" s="38">
        <v>27</v>
      </c>
      <c r="B30" s="139" t="s">
        <v>82</v>
      </c>
      <c r="C30" s="38" t="s">
        <v>138</v>
      </c>
      <c r="D30" s="38" t="s">
        <v>170</v>
      </c>
      <c r="E30" s="48">
        <v>608.38518199999999</v>
      </c>
      <c r="F30" s="140">
        <f>8.607</f>
        <v>8.6069999999999993</v>
      </c>
      <c r="G30" s="140">
        <v>8.6199999999999992</v>
      </c>
      <c r="H30" s="140">
        <v>8.6080000000000005</v>
      </c>
      <c r="I30" s="160" t="s">
        <v>3</v>
      </c>
      <c r="J30" s="160" t="s">
        <v>3</v>
      </c>
      <c r="K30" s="143">
        <v>16.752833333333299</v>
      </c>
      <c r="L30" s="144">
        <v>5.28</v>
      </c>
      <c r="M30" s="145">
        <v>5.27</v>
      </c>
      <c r="N30" s="144">
        <v>5.234</v>
      </c>
      <c r="O30" s="144">
        <v>5.2759999999999998</v>
      </c>
      <c r="P30" s="144">
        <v>5.2549999999999999</v>
      </c>
      <c r="Q30" s="144">
        <v>5.3040000000000003</v>
      </c>
      <c r="R30" s="144">
        <v>5.3840000000000003</v>
      </c>
      <c r="S30" s="144">
        <v>5.3109999999999999</v>
      </c>
      <c r="T30" s="144">
        <v>5.3140000000000001</v>
      </c>
      <c r="U30" s="144">
        <v>5.2770000000000001</v>
      </c>
      <c r="V30" s="144">
        <v>5.2919999999999998</v>
      </c>
      <c r="W30" s="146">
        <v>5.5640000000000001</v>
      </c>
      <c r="X30" s="146">
        <v>5.4630000000000001</v>
      </c>
      <c r="Y30" s="146">
        <v>5.4790000000000001</v>
      </c>
      <c r="Z30" s="147">
        <v>5.75</v>
      </c>
      <c r="AA30" s="148">
        <v>5.8769999999999998</v>
      </c>
      <c r="AB30" s="148">
        <v>5.907</v>
      </c>
      <c r="AC30" s="149">
        <v>5.5129999999999999</v>
      </c>
      <c r="AD30" s="149" t="s">
        <v>3</v>
      </c>
      <c r="AE30" s="150">
        <v>5.0439999999999996</v>
      </c>
      <c r="AF30" s="150">
        <v>5.0579999999999998</v>
      </c>
      <c r="AG30" s="150">
        <v>5.077</v>
      </c>
      <c r="AH30" s="150">
        <v>5.0439999999999996</v>
      </c>
      <c r="AI30" s="151">
        <v>6.5122499999999999</v>
      </c>
      <c r="AJ30" s="151">
        <v>6.4534833333333301</v>
      </c>
      <c r="AK30" s="151">
        <v>6.5123166666666696</v>
      </c>
      <c r="AL30" s="161">
        <v>6.4595500000000001</v>
      </c>
      <c r="AM30" s="161">
        <v>6.35713333333333</v>
      </c>
      <c r="AN30" s="162">
        <v>3.9760272502899201</v>
      </c>
      <c r="AO30" s="162">
        <v>4.0472722053527797</v>
      </c>
      <c r="AP30" s="162">
        <v>3.5785667896270801</v>
      </c>
      <c r="AQ30" s="162">
        <v>3.57776951789856</v>
      </c>
      <c r="AR30" s="162">
        <v>3.5791637897491499</v>
      </c>
      <c r="AS30" s="153">
        <v>15.48</v>
      </c>
      <c r="AT30" s="153">
        <v>14.808999999999999</v>
      </c>
      <c r="AU30" s="153">
        <v>15.407999999999999</v>
      </c>
      <c r="AV30" s="153">
        <v>15.813000000000001</v>
      </c>
      <c r="AW30" s="154" t="s">
        <v>3</v>
      </c>
      <c r="AX30" s="154" t="s">
        <v>3</v>
      </c>
      <c r="AY30" s="155" t="s">
        <v>3</v>
      </c>
      <c r="AZ30" s="155" t="s">
        <v>3</v>
      </c>
      <c r="BA30" s="156" t="s">
        <v>3</v>
      </c>
    </row>
    <row r="31" spans="1:53" x14ac:dyDescent="0.25">
      <c r="A31" s="38">
        <v>28</v>
      </c>
      <c r="B31" s="139" t="s">
        <v>83</v>
      </c>
      <c r="C31" s="38" t="s">
        <v>138</v>
      </c>
      <c r="D31" s="38" t="s">
        <v>171</v>
      </c>
      <c r="E31" s="48">
        <v>652.41139699999997</v>
      </c>
      <c r="F31" s="140">
        <f>8.662</f>
        <v>8.6620000000000008</v>
      </c>
      <c r="G31" s="140">
        <v>8.6460000000000008</v>
      </c>
      <c r="H31" s="140">
        <v>8.67</v>
      </c>
      <c r="I31" s="160" t="s">
        <v>3</v>
      </c>
      <c r="J31" s="160" t="s">
        <v>3</v>
      </c>
      <c r="K31" s="143">
        <v>17.122</v>
      </c>
      <c r="L31" s="144">
        <v>5.4349999999999996</v>
      </c>
      <c r="M31" s="145">
        <v>5.4189999999999996</v>
      </c>
      <c r="N31" s="144">
        <v>5.3810000000000002</v>
      </c>
      <c r="O31" s="144">
        <v>5.4240000000000004</v>
      </c>
      <c r="P31" s="144">
        <v>5.4039999999999999</v>
      </c>
      <c r="Q31" s="144">
        <v>5.4509999999999996</v>
      </c>
      <c r="R31" s="144">
        <v>5.4880000000000004</v>
      </c>
      <c r="S31" s="144">
        <v>5.4139999999999997</v>
      </c>
      <c r="T31" s="144">
        <v>5.4690000000000003</v>
      </c>
      <c r="U31" s="144">
        <v>5.4329999999999998</v>
      </c>
      <c r="V31" s="144">
        <v>5.4379999999999997</v>
      </c>
      <c r="W31" s="146">
        <v>5.7060000000000004</v>
      </c>
      <c r="X31" s="146">
        <v>5.6319999999999997</v>
      </c>
      <c r="Y31" s="146" t="s">
        <v>3</v>
      </c>
      <c r="Z31" s="147">
        <v>5.8849999999999998</v>
      </c>
      <c r="AA31" s="148">
        <v>6.0220000000000002</v>
      </c>
      <c r="AB31" s="148">
        <v>5.9960000000000004</v>
      </c>
      <c r="AC31" s="149">
        <v>5.6779999999999999</v>
      </c>
      <c r="AD31" s="149" t="s">
        <v>3</v>
      </c>
      <c r="AE31" s="150">
        <v>5.1779999999999999</v>
      </c>
      <c r="AF31" s="150">
        <v>5.1920000000000002</v>
      </c>
      <c r="AG31" s="150">
        <v>5.1769999999999996</v>
      </c>
      <c r="AH31" s="150">
        <v>5.194</v>
      </c>
      <c r="AI31" s="151">
        <v>6.7636500000000002</v>
      </c>
      <c r="AJ31" s="151">
        <v>6.7113166666666704</v>
      </c>
      <c r="AK31" s="151">
        <v>6.7637</v>
      </c>
      <c r="AL31" s="161">
        <v>6.7283499999999998</v>
      </c>
      <c r="AM31" s="161">
        <v>6.6552166666666697</v>
      </c>
      <c r="AN31" s="162">
        <v>4.2097978591918901</v>
      </c>
      <c r="AO31" s="162" t="s">
        <v>3</v>
      </c>
      <c r="AP31" s="162" t="s">
        <v>3</v>
      </c>
      <c r="AQ31" s="162" t="s">
        <v>3</v>
      </c>
      <c r="AR31" s="162" t="s">
        <v>3</v>
      </c>
      <c r="AS31" s="153">
        <v>15.750999999999999</v>
      </c>
      <c r="AT31" s="153">
        <v>15.068</v>
      </c>
      <c r="AU31" s="153">
        <v>15.69</v>
      </c>
      <c r="AV31" s="153">
        <v>16.077999999999999</v>
      </c>
      <c r="AW31" s="154">
        <v>8.8800000000000008</v>
      </c>
      <c r="AX31" s="154" t="s">
        <v>3</v>
      </c>
      <c r="AY31" s="155" t="s">
        <v>3</v>
      </c>
      <c r="AZ31" s="155" t="s">
        <v>3</v>
      </c>
      <c r="BA31" s="156" t="s">
        <v>3</v>
      </c>
    </row>
    <row r="32" spans="1:53" x14ac:dyDescent="0.25">
      <c r="A32" s="38">
        <v>29</v>
      </c>
      <c r="B32" s="139" t="s">
        <v>84</v>
      </c>
      <c r="C32" s="38" t="s">
        <v>138</v>
      </c>
      <c r="D32" s="38" t="s">
        <v>172</v>
      </c>
      <c r="E32" s="48">
        <v>696.43761099999995</v>
      </c>
      <c r="F32" s="140">
        <f>8.691</f>
        <v>8.6910000000000007</v>
      </c>
      <c r="G32" s="140">
        <v>8.702</v>
      </c>
      <c r="H32" s="140">
        <v>8.7029999999999994</v>
      </c>
      <c r="I32" s="160" t="s">
        <v>3</v>
      </c>
      <c r="J32" s="160" t="s">
        <v>3</v>
      </c>
      <c r="K32" s="143" t="s">
        <v>3</v>
      </c>
      <c r="L32" s="144">
        <v>5.5389999999999997</v>
      </c>
      <c r="M32" s="145">
        <v>5.5650000000000004</v>
      </c>
      <c r="N32" s="144">
        <v>5.5330000000000004</v>
      </c>
      <c r="O32" s="144">
        <v>5.5720000000000001</v>
      </c>
      <c r="P32" s="144">
        <v>5.5510000000000002</v>
      </c>
      <c r="Q32" s="144">
        <v>5.5490000000000004</v>
      </c>
      <c r="R32" s="144">
        <v>5.6360000000000001</v>
      </c>
      <c r="S32" s="144">
        <v>5.56</v>
      </c>
      <c r="T32" s="144">
        <v>5.5670000000000002</v>
      </c>
      <c r="U32" s="144">
        <v>5.5810000000000004</v>
      </c>
      <c r="V32" s="144">
        <v>5.5839999999999996</v>
      </c>
      <c r="W32" s="146">
        <v>5.8369999999999997</v>
      </c>
      <c r="X32" s="146">
        <v>5.7750000000000004</v>
      </c>
      <c r="Y32" s="146" t="s">
        <v>3</v>
      </c>
      <c r="Z32" s="147">
        <v>6.0350000000000001</v>
      </c>
      <c r="AA32" s="148">
        <v>6.1680000000000001</v>
      </c>
      <c r="AB32" s="148">
        <v>6.1440000000000001</v>
      </c>
      <c r="AC32" s="149">
        <v>5.8150000000000004</v>
      </c>
      <c r="AD32" s="149" t="s">
        <v>3</v>
      </c>
      <c r="AE32" s="150">
        <v>5.3280000000000003</v>
      </c>
      <c r="AF32" s="150">
        <v>5.3419999999999996</v>
      </c>
      <c r="AG32" s="150">
        <v>5.3609999999999998</v>
      </c>
      <c r="AH32" s="150">
        <v>5.3440000000000003</v>
      </c>
      <c r="AI32" s="151">
        <v>7.0110000000000001</v>
      </c>
      <c r="AJ32" s="151">
        <v>6.9626999999999999</v>
      </c>
      <c r="AK32" s="151">
        <v>7.01105</v>
      </c>
      <c r="AL32" s="161">
        <v>6.9630999999999998</v>
      </c>
      <c r="AM32" s="161" t="s">
        <v>3</v>
      </c>
      <c r="AN32" s="162">
        <v>4.4274001121520898</v>
      </c>
      <c r="AO32" s="162" t="s">
        <v>3</v>
      </c>
      <c r="AP32" s="162" t="s">
        <v>3</v>
      </c>
      <c r="AQ32" s="162" t="s">
        <v>3</v>
      </c>
      <c r="AR32" s="162" t="s">
        <v>3</v>
      </c>
      <c r="AS32" s="153">
        <v>16.007000000000001</v>
      </c>
      <c r="AT32" s="153" t="s">
        <v>3</v>
      </c>
      <c r="AU32" s="153">
        <v>15.926</v>
      </c>
      <c r="AV32" s="153">
        <v>16.329999999999998</v>
      </c>
      <c r="AW32" s="154">
        <v>9.0500000000000007</v>
      </c>
      <c r="AX32" s="154" t="s">
        <v>3</v>
      </c>
      <c r="AY32" s="155" t="s">
        <v>3</v>
      </c>
      <c r="AZ32" s="155" t="s">
        <v>3</v>
      </c>
      <c r="BA32" s="156" t="s">
        <v>3</v>
      </c>
    </row>
    <row r="33" spans="1:53" x14ac:dyDescent="0.25">
      <c r="A33" s="38">
        <v>30</v>
      </c>
      <c r="B33" s="139" t="s">
        <v>85</v>
      </c>
      <c r="C33" s="38" t="s">
        <v>138</v>
      </c>
      <c r="D33" s="38" t="s">
        <v>173</v>
      </c>
      <c r="E33" s="48">
        <v>740.46382600000004</v>
      </c>
      <c r="F33" s="140">
        <f>8.719</f>
        <v>8.7189999999999994</v>
      </c>
      <c r="G33" s="140">
        <v>8.73</v>
      </c>
      <c r="H33" s="140">
        <v>8.7330000000000005</v>
      </c>
      <c r="I33" s="160" t="s">
        <v>3</v>
      </c>
      <c r="J33" s="160" t="s">
        <v>3</v>
      </c>
      <c r="K33" s="143" t="s">
        <v>3</v>
      </c>
      <c r="L33" s="144">
        <v>5.6909999999999998</v>
      </c>
      <c r="M33" s="145">
        <v>5.6680000000000001</v>
      </c>
      <c r="N33" s="144">
        <v>5.6349999999999998</v>
      </c>
      <c r="O33" s="144">
        <v>5.6760000000000002</v>
      </c>
      <c r="P33" s="144">
        <v>5.6580000000000004</v>
      </c>
      <c r="Q33" s="144">
        <v>5.7039999999999997</v>
      </c>
      <c r="R33" s="144">
        <v>5.742</v>
      </c>
      <c r="S33" s="144">
        <v>5.6680000000000001</v>
      </c>
      <c r="T33" s="144">
        <v>5.7140000000000004</v>
      </c>
      <c r="U33" s="144">
        <v>5.6790000000000003</v>
      </c>
      <c r="V33" s="144">
        <v>5.6859999999999999</v>
      </c>
      <c r="W33" s="146">
        <v>5.9729999999999999</v>
      </c>
      <c r="X33" s="146">
        <v>5.8879999999999999</v>
      </c>
      <c r="Y33" s="146" t="s">
        <v>3</v>
      </c>
      <c r="Z33" s="147">
        <v>6.1449999999999996</v>
      </c>
      <c r="AA33" s="148">
        <v>6.3159999999999998</v>
      </c>
      <c r="AB33" s="148" t="s">
        <v>3</v>
      </c>
      <c r="AC33" s="149">
        <v>5.9509999999999996</v>
      </c>
      <c r="AD33" s="149" t="s">
        <v>3</v>
      </c>
      <c r="AE33" s="150">
        <v>5.4939999999999998</v>
      </c>
      <c r="AF33" s="150">
        <v>5.492</v>
      </c>
      <c r="AG33" s="150">
        <v>5.4939999999999998</v>
      </c>
      <c r="AH33" s="150">
        <v>5.4939999999999998</v>
      </c>
      <c r="AI33" s="151">
        <v>7.2309666666666699</v>
      </c>
      <c r="AJ33" s="151">
        <v>7.1786333333333303</v>
      </c>
      <c r="AK33" s="151">
        <v>7.2310166666666698</v>
      </c>
      <c r="AL33" s="161">
        <v>7.1904666666666701</v>
      </c>
      <c r="AM33" s="161" t="s">
        <v>3</v>
      </c>
      <c r="AN33" s="162">
        <v>4.6304416656494096</v>
      </c>
      <c r="AO33" s="162" t="s">
        <v>3</v>
      </c>
      <c r="AP33" s="162" t="s">
        <v>3</v>
      </c>
      <c r="AQ33" s="162" t="s">
        <v>3</v>
      </c>
      <c r="AR33" s="162" t="s">
        <v>3</v>
      </c>
      <c r="AS33" s="153">
        <v>16.234000000000002</v>
      </c>
      <c r="AT33" s="153" t="s">
        <v>3</v>
      </c>
      <c r="AU33" s="153">
        <v>16.18</v>
      </c>
      <c r="AV33" s="153">
        <v>16.527999999999999</v>
      </c>
      <c r="AW33" s="154" t="s">
        <v>3</v>
      </c>
      <c r="AX33" s="154" t="s">
        <v>3</v>
      </c>
      <c r="AY33" s="155" t="s">
        <v>3</v>
      </c>
      <c r="AZ33" s="155" t="s">
        <v>3</v>
      </c>
      <c r="BA33" s="156" t="s">
        <v>3</v>
      </c>
    </row>
    <row r="34" spans="1:53" x14ac:dyDescent="0.25">
      <c r="A34" s="38">
        <v>31</v>
      </c>
      <c r="B34" s="139" t="s">
        <v>86</v>
      </c>
      <c r="C34" s="38" t="s">
        <v>138</v>
      </c>
      <c r="D34" s="38" t="s">
        <v>174</v>
      </c>
      <c r="E34" s="48">
        <v>784.49004100000002</v>
      </c>
      <c r="F34" s="140">
        <f>8.747</f>
        <v>8.7469999999999999</v>
      </c>
      <c r="G34" s="140">
        <v>8.7579999999999991</v>
      </c>
      <c r="H34" s="140">
        <v>8.7629999999999999</v>
      </c>
      <c r="I34" s="160" t="s">
        <v>3</v>
      </c>
      <c r="J34" s="160" t="s">
        <v>3</v>
      </c>
      <c r="K34" s="143" t="s">
        <v>3</v>
      </c>
      <c r="L34" s="144">
        <v>5.7939999999999996</v>
      </c>
      <c r="M34" s="144">
        <v>5.7649999999999997</v>
      </c>
      <c r="N34" s="144">
        <v>5.7350000000000003</v>
      </c>
      <c r="O34" s="144">
        <v>5.7770000000000001</v>
      </c>
      <c r="P34" s="144">
        <v>5.758</v>
      </c>
      <c r="Q34" s="144">
        <v>5.8019999999999996</v>
      </c>
      <c r="R34" s="144">
        <v>5.8929999999999998</v>
      </c>
      <c r="S34" s="144">
        <v>5.7670000000000003</v>
      </c>
      <c r="T34" s="144">
        <v>5.8109999999999999</v>
      </c>
      <c r="U34" s="144">
        <v>5.8239999999999998</v>
      </c>
      <c r="V34" s="144">
        <v>5.8339999999999996</v>
      </c>
      <c r="W34" s="146">
        <v>6.0819999999999999</v>
      </c>
      <c r="X34" s="146">
        <v>6.0389999999999997</v>
      </c>
      <c r="Y34" s="146" t="s">
        <v>3</v>
      </c>
      <c r="Z34" s="147">
        <v>6.3140000000000001</v>
      </c>
      <c r="AA34" s="148">
        <v>6.4329999999999998</v>
      </c>
      <c r="AB34" s="148" t="s">
        <v>3</v>
      </c>
      <c r="AC34" s="149">
        <v>6.0880000000000001</v>
      </c>
      <c r="AD34" s="149" t="s">
        <v>3</v>
      </c>
      <c r="AE34" s="150">
        <v>5.6280000000000001</v>
      </c>
      <c r="AF34" s="150">
        <v>5.6079999999999997</v>
      </c>
      <c r="AG34" s="150">
        <v>5.6440000000000001</v>
      </c>
      <c r="AH34" s="150">
        <v>5.6269999999999998</v>
      </c>
      <c r="AI34" s="151">
        <v>7.4404500000000002</v>
      </c>
      <c r="AJ34" s="151">
        <v>7.3881166666666704</v>
      </c>
      <c r="AK34" s="151">
        <v>7.4300333333333297</v>
      </c>
      <c r="AL34" s="161">
        <v>7.3837999999999999</v>
      </c>
      <c r="AM34" s="161" t="s">
        <v>3</v>
      </c>
      <c r="AN34" s="152" t="s">
        <v>3</v>
      </c>
      <c r="AO34" s="152" t="s">
        <v>3</v>
      </c>
      <c r="AP34" s="152" t="s">
        <v>3</v>
      </c>
      <c r="AQ34" s="152" t="s">
        <v>3</v>
      </c>
      <c r="AR34" s="152" t="s">
        <v>3</v>
      </c>
      <c r="AS34" s="153">
        <v>16.459</v>
      </c>
      <c r="AT34" s="153" t="s">
        <v>3</v>
      </c>
      <c r="AU34" s="153" t="s">
        <v>3</v>
      </c>
      <c r="AV34" s="153">
        <v>16.751000000000001</v>
      </c>
      <c r="AW34" s="154" t="s">
        <v>3</v>
      </c>
      <c r="AX34" s="154" t="s">
        <v>3</v>
      </c>
      <c r="AY34" s="155" t="s">
        <v>3</v>
      </c>
      <c r="AZ34" s="155" t="s">
        <v>3</v>
      </c>
      <c r="BA34" s="156" t="s">
        <v>3</v>
      </c>
    </row>
    <row r="35" spans="1:53" x14ac:dyDescent="0.25">
      <c r="A35" s="38">
        <v>32</v>
      </c>
      <c r="B35" s="139" t="s">
        <v>4</v>
      </c>
      <c r="C35" s="38" t="s">
        <v>138</v>
      </c>
      <c r="D35" s="38" t="s">
        <v>175</v>
      </c>
      <c r="E35" s="48">
        <v>248.079849</v>
      </c>
      <c r="F35" s="140" t="s">
        <v>3</v>
      </c>
      <c r="G35" s="140" t="s">
        <v>3</v>
      </c>
      <c r="H35" s="140" t="s">
        <v>3</v>
      </c>
      <c r="I35" s="160" t="s">
        <v>3</v>
      </c>
      <c r="J35" s="160" t="s">
        <v>3</v>
      </c>
      <c r="K35" s="143" t="s">
        <v>3</v>
      </c>
      <c r="L35" s="144" t="s">
        <v>3</v>
      </c>
      <c r="M35" s="144" t="s">
        <v>3</v>
      </c>
      <c r="N35" s="144" t="s">
        <v>3</v>
      </c>
      <c r="O35" s="144">
        <v>1.284</v>
      </c>
      <c r="P35" s="144" t="s">
        <v>3</v>
      </c>
      <c r="Q35" s="144" t="s">
        <v>3</v>
      </c>
      <c r="R35" s="144" t="s">
        <v>3</v>
      </c>
      <c r="S35" s="144">
        <v>1.238</v>
      </c>
      <c r="T35" s="144">
        <v>1.2410000000000001</v>
      </c>
      <c r="U35" s="144">
        <v>1.286</v>
      </c>
      <c r="V35" s="144" t="s">
        <v>3</v>
      </c>
      <c r="W35" s="157" t="s">
        <v>3</v>
      </c>
      <c r="X35" s="157" t="s">
        <v>3</v>
      </c>
      <c r="Y35" s="146" t="s">
        <v>3</v>
      </c>
      <c r="Z35" s="147" t="s">
        <v>3</v>
      </c>
      <c r="AA35" s="163" t="s">
        <v>3</v>
      </c>
      <c r="AB35" s="148" t="s">
        <v>3</v>
      </c>
      <c r="AC35" s="159" t="s">
        <v>3</v>
      </c>
      <c r="AD35" s="149" t="s">
        <v>3</v>
      </c>
      <c r="AE35" s="150" t="s">
        <v>3</v>
      </c>
      <c r="AF35" s="150" t="s">
        <v>3</v>
      </c>
      <c r="AG35" s="150" t="s">
        <v>3</v>
      </c>
      <c r="AH35" s="150" t="s">
        <v>3</v>
      </c>
      <c r="AI35" s="151" t="s">
        <v>3</v>
      </c>
      <c r="AJ35" s="151" t="s">
        <v>3</v>
      </c>
      <c r="AK35" s="151" t="s">
        <v>3</v>
      </c>
      <c r="AL35" s="151" t="s">
        <v>3</v>
      </c>
      <c r="AM35" s="151" t="s">
        <v>3</v>
      </c>
      <c r="AN35" s="152" t="s">
        <v>3</v>
      </c>
      <c r="AO35" s="152" t="s">
        <v>3</v>
      </c>
      <c r="AP35" s="152" t="s">
        <v>3</v>
      </c>
      <c r="AQ35" s="152" t="s">
        <v>3</v>
      </c>
      <c r="AR35" s="152" t="s">
        <v>3</v>
      </c>
      <c r="AS35" s="153" t="s">
        <v>3</v>
      </c>
      <c r="AT35" s="153" t="s">
        <v>3</v>
      </c>
      <c r="AU35" s="153" t="s">
        <v>3</v>
      </c>
      <c r="AV35" s="153" t="s">
        <v>3</v>
      </c>
      <c r="AW35" s="154" t="s">
        <v>3</v>
      </c>
      <c r="AX35" s="154" t="s">
        <v>3</v>
      </c>
      <c r="AY35" s="155" t="s">
        <v>3</v>
      </c>
      <c r="AZ35" s="155" t="s">
        <v>3</v>
      </c>
      <c r="BA35" s="156" t="s">
        <v>3</v>
      </c>
    </row>
    <row r="36" spans="1:53" x14ac:dyDescent="0.25">
      <c r="A36" s="38">
        <v>33</v>
      </c>
      <c r="B36" s="139" t="s">
        <v>4</v>
      </c>
      <c r="C36" s="38" t="s">
        <v>139</v>
      </c>
      <c r="D36" s="38" t="s">
        <v>175</v>
      </c>
      <c r="E36" s="48">
        <v>229.038747</v>
      </c>
      <c r="F36" s="140" t="s">
        <v>564</v>
      </c>
      <c r="G36" s="140" t="s">
        <v>564</v>
      </c>
      <c r="H36" s="140" t="s">
        <v>564</v>
      </c>
      <c r="I36" s="160" t="s">
        <v>3</v>
      </c>
      <c r="J36" s="160" t="s">
        <v>3</v>
      </c>
      <c r="K36" s="164">
        <v>5.6470000000000002</v>
      </c>
      <c r="L36" s="145" t="s">
        <v>3</v>
      </c>
      <c r="M36" s="145">
        <v>1.2869999999999999</v>
      </c>
      <c r="N36" s="145">
        <v>1.333</v>
      </c>
      <c r="O36" s="145">
        <v>1.282</v>
      </c>
      <c r="P36" s="145">
        <v>1.3280000000000001</v>
      </c>
      <c r="Q36" s="145">
        <v>1.284</v>
      </c>
      <c r="R36" s="145">
        <v>1.337</v>
      </c>
      <c r="S36" s="145">
        <v>1.284</v>
      </c>
      <c r="T36" s="145">
        <v>1.234</v>
      </c>
      <c r="U36" s="145">
        <v>1.232</v>
      </c>
      <c r="V36" s="145" t="s">
        <v>3</v>
      </c>
      <c r="W36" s="146" t="s">
        <v>564</v>
      </c>
      <c r="X36" s="146" t="s">
        <v>564</v>
      </c>
      <c r="Y36" s="146" t="s">
        <v>564</v>
      </c>
      <c r="Z36" s="158" t="s">
        <v>3</v>
      </c>
      <c r="AA36" s="163" t="s">
        <v>3</v>
      </c>
      <c r="AB36" s="163" t="s">
        <v>3</v>
      </c>
      <c r="AC36" s="159">
        <v>1.1359999999999999</v>
      </c>
      <c r="AD36" s="159" t="s">
        <v>3</v>
      </c>
      <c r="AE36" s="150">
        <v>1.51</v>
      </c>
      <c r="AF36" s="150" t="s">
        <v>3</v>
      </c>
      <c r="AG36" s="150" t="s">
        <v>3</v>
      </c>
      <c r="AH36" s="150" t="s">
        <v>3</v>
      </c>
      <c r="AI36" s="151" t="s">
        <v>3</v>
      </c>
      <c r="AJ36" s="151" t="s">
        <v>564</v>
      </c>
      <c r="AK36" s="151" t="s">
        <v>3</v>
      </c>
      <c r="AL36" s="151" t="s">
        <v>3</v>
      </c>
      <c r="AM36" s="151" t="s">
        <v>564</v>
      </c>
      <c r="AN36" s="152" t="s">
        <v>564</v>
      </c>
      <c r="AO36" s="152" t="s">
        <v>564</v>
      </c>
      <c r="AP36" s="152" t="s">
        <v>564</v>
      </c>
      <c r="AQ36" s="152" t="s">
        <v>564</v>
      </c>
      <c r="AR36" s="152" t="s">
        <v>564</v>
      </c>
      <c r="AS36" s="153" t="s">
        <v>3</v>
      </c>
      <c r="AT36" s="153" t="s">
        <v>3</v>
      </c>
      <c r="AU36" s="153" t="s">
        <v>3</v>
      </c>
      <c r="AV36" s="153" t="s">
        <v>3</v>
      </c>
      <c r="AW36" s="154">
        <v>0.72994999999999999</v>
      </c>
      <c r="AX36" s="154" t="s">
        <v>3</v>
      </c>
      <c r="AY36" s="155" t="s">
        <v>3</v>
      </c>
      <c r="AZ36" s="155" t="s">
        <v>3</v>
      </c>
      <c r="BA36" s="156" t="s">
        <v>3</v>
      </c>
    </row>
    <row r="37" spans="1:53" x14ac:dyDescent="0.25">
      <c r="A37" s="38">
        <v>34</v>
      </c>
      <c r="B37" s="139" t="s">
        <v>5</v>
      </c>
      <c r="C37" s="38" t="s">
        <v>138</v>
      </c>
      <c r="D37" s="38" t="s">
        <v>176</v>
      </c>
      <c r="E37" s="48">
        <v>292.106064</v>
      </c>
      <c r="F37" s="140" t="s">
        <v>3</v>
      </c>
      <c r="G37" s="140" t="s">
        <v>3</v>
      </c>
      <c r="H37" s="140" t="s">
        <v>3</v>
      </c>
      <c r="I37" s="160" t="s">
        <v>3</v>
      </c>
      <c r="J37" s="160" t="s">
        <v>3</v>
      </c>
      <c r="K37" s="143" t="s">
        <v>3</v>
      </c>
      <c r="L37" s="144" t="s">
        <v>3</v>
      </c>
      <c r="M37" s="144">
        <v>1.839</v>
      </c>
      <c r="N37" s="144" t="s">
        <v>3</v>
      </c>
      <c r="O37" s="144">
        <v>1.879</v>
      </c>
      <c r="P37" s="144">
        <v>1.835</v>
      </c>
      <c r="Q37" s="144" t="s">
        <v>3</v>
      </c>
      <c r="R37" s="144" t="s">
        <v>3</v>
      </c>
      <c r="S37" s="144">
        <v>1.837</v>
      </c>
      <c r="T37" s="144">
        <v>1.784</v>
      </c>
      <c r="U37" s="144">
        <v>1.786</v>
      </c>
      <c r="V37" s="144" t="s">
        <v>3</v>
      </c>
      <c r="W37" s="157" t="s">
        <v>3</v>
      </c>
      <c r="X37" s="157" t="s">
        <v>3</v>
      </c>
      <c r="Y37" s="146" t="s">
        <v>3</v>
      </c>
      <c r="Z37" s="147" t="s">
        <v>3</v>
      </c>
      <c r="AA37" s="163" t="s">
        <v>3</v>
      </c>
      <c r="AB37" s="148" t="s">
        <v>3</v>
      </c>
      <c r="AC37" s="149">
        <v>1.4259999999999999</v>
      </c>
      <c r="AD37" s="149" t="s">
        <v>3</v>
      </c>
      <c r="AE37" s="150">
        <v>2.528</v>
      </c>
      <c r="AF37" s="150" t="s">
        <v>3</v>
      </c>
      <c r="AG37" s="150" t="s">
        <v>3</v>
      </c>
      <c r="AH37" s="150" t="s">
        <v>3</v>
      </c>
      <c r="AI37" s="151" t="s">
        <v>3</v>
      </c>
      <c r="AJ37" s="151" t="s">
        <v>3</v>
      </c>
      <c r="AK37" s="151" t="s">
        <v>3</v>
      </c>
      <c r="AL37" s="151" t="s">
        <v>3</v>
      </c>
      <c r="AM37" s="151" t="s">
        <v>3</v>
      </c>
      <c r="AN37" s="152" t="s">
        <v>3</v>
      </c>
      <c r="AO37" s="152" t="s">
        <v>3</v>
      </c>
      <c r="AP37" s="152" t="s">
        <v>3</v>
      </c>
      <c r="AQ37" s="152" t="s">
        <v>3</v>
      </c>
      <c r="AR37" s="152" t="s">
        <v>3</v>
      </c>
      <c r="AS37" s="153" t="s">
        <v>3</v>
      </c>
      <c r="AT37" s="153" t="s">
        <v>3</v>
      </c>
      <c r="AU37" s="153" t="s">
        <v>3</v>
      </c>
      <c r="AV37" s="153" t="s">
        <v>3</v>
      </c>
      <c r="AW37" s="154" t="s">
        <v>3</v>
      </c>
      <c r="AX37" s="154" t="s">
        <v>3</v>
      </c>
      <c r="AY37" s="155" t="s">
        <v>3</v>
      </c>
      <c r="AZ37" s="155" t="s">
        <v>3</v>
      </c>
      <c r="BA37" s="156" t="s">
        <v>3</v>
      </c>
    </row>
    <row r="38" spans="1:53" x14ac:dyDescent="0.25">
      <c r="A38" s="38">
        <v>35</v>
      </c>
      <c r="B38" s="139" t="s">
        <v>5</v>
      </c>
      <c r="C38" s="38" t="s">
        <v>139</v>
      </c>
      <c r="D38" s="38" t="s">
        <v>176</v>
      </c>
      <c r="E38" s="48">
        <v>273.06496199999998</v>
      </c>
      <c r="F38" s="140" t="s">
        <v>564</v>
      </c>
      <c r="G38" s="140" t="s">
        <v>564</v>
      </c>
      <c r="H38" s="140" t="s">
        <v>564</v>
      </c>
      <c r="I38" s="160" t="s">
        <v>3</v>
      </c>
      <c r="J38" s="160" t="s">
        <v>3</v>
      </c>
      <c r="K38" s="164">
        <v>5.95</v>
      </c>
      <c r="L38" s="145" t="s">
        <v>3</v>
      </c>
      <c r="M38" s="145">
        <v>1.8740000000000001</v>
      </c>
      <c r="N38" s="145">
        <v>1.825</v>
      </c>
      <c r="O38" s="145">
        <v>1.869</v>
      </c>
      <c r="P38" s="145">
        <v>1.869</v>
      </c>
      <c r="Q38" s="145">
        <v>1.8720000000000001</v>
      </c>
      <c r="R38" s="145">
        <v>1.8779999999999999</v>
      </c>
      <c r="S38" s="145">
        <v>1.825</v>
      </c>
      <c r="T38" s="145">
        <v>1.8220000000000001</v>
      </c>
      <c r="U38" s="145">
        <v>1.8220000000000001</v>
      </c>
      <c r="V38" s="145" t="s">
        <v>3</v>
      </c>
      <c r="W38" s="146" t="s">
        <v>564</v>
      </c>
      <c r="X38" s="146" t="s">
        <v>564</v>
      </c>
      <c r="Y38" s="146" t="s">
        <v>564</v>
      </c>
      <c r="Z38" s="158" t="s">
        <v>3</v>
      </c>
      <c r="AA38" s="163">
        <v>1.5</v>
      </c>
      <c r="AB38" s="163" t="s">
        <v>3</v>
      </c>
      <c r="AC38" s="159">
        <v>1.385</v>
      </c>
      <c r="AD38" s="159" t="s">
        <v>3</v>
      </c>
      <c r="AE38" s="150">
        <v>1.994</v>
      </c>
      <c r="AF38" s="150" t="s">
        <v>3</v>
      </c>
      <c r="AG38" s="150" t="s">
        <v>3</v>
      </c>
      <c r="AH38" s="150" t="s">
        <v>3</v>
      </c>
      <c r="AI38" s="151" t="s">
        <v>3</v>
      </c>
      <c r="AJ38" s="151" t="s">
        <v>564</v>
      </c>
      <c r="AK38" s="151" t="s">
        <v>3</v>
      </c>
      <c r="AL38" s="151" t="s">
        <v>3</v>
      </c>
      <c r="AM38" s="151" t="s">
        <v>564</v>
      </c>
      <c r="AN38" s="152" t="s">
        <v>564</v>
      </c>
      <c r="AO38" s="152" t="s">
        <v>564</v>
      </c>
      <c r="AP38" s="152" t="s">
        <v>564</v>
      </c>
      <c r="AQ38" s="152" t="s">
        <v>564</v>
      </c>
      <c r="AR38" s="152" t="s">
        <v>564</v>
      </c>
      <c r="AS38" s="153" t="s">
        <v>3</v>
      </c>
      <c r="AT38" s="153" t="s">
        <v>3</v>
      </c>
      <c r="AU38" s="153" t="s">
        <v>3</v>
      </c>
      <c r="AV38" s="153" t="s">
        <v>3</v>
      </c>
      <c r="AW38" s="154">
        <v>1.37191</v>
      </c>
      <c r="AX38" s="154" t="s">
        <v>3</v>
      </c>
      <c r="AY38" s="155" t="s">
        <v>3</v>
      </c>
      <c r="AZ38" s="155" t="s">
        <v>3</v>
      </c>
      <c r="BA38" s="156" t="s">
        <v>3</v>
      </c>
    </row>
    <row r="39" spans="1:53" x14ac:dyDescent="0.25">
      <c r="A39" s="38">
        <v>36</v>
      </c>
      <c r="B39" s="139" t="s">
        <v>6</v>
      </c>
      <c r="C39" s="38" t="s">
        <v>138</v>
      </c>
      <c r="D39" s="38" t="s">
        <v>177</v>
      </c>
      <c r="E39" s="48">
        <v>336.13227899999998</v>
      </c>
      <c r="F39" s="140" t="s">
        <v>3</v>
      </c>
      <c r="G39" s="140" t="s">
        <v>3</v>
      </c>
      <c r="H39" s="140" t="s">
        <v>3</v>
      </c>
      <c r="I39" s="160" t="s">
        <v>3</v>
      </c>
      <c r="J39" s="160" t="s">
        <v>3</v>
      </c>
      <c r="K39" s="143" t="s">
        <v>3</v>
      </c>
      <c r="L39" s="144" t="s">
        <v>3</v>
      </c>
      <c r="M39" s="144">
        <v>2.5539999999999998</v>
      </c>
      <c r="N39" s="144">
        <v>2.59</v>
      </c>
      <c r="O39" s="144">
        <v>2.59</v>
      </c>
      <c r="P39" s="144">
        <v>2.5459999999999998</v>
      </c>
      <c r="Q39" s="144">
        <v>2.597</v>
      </c>
      <c r="R39" s="144">
        <v>2.871</v>
      </c>
      <c r="S39" s="144">
        <v>2.5619999999999998</v>
      </c>
      <c r="T39" s="144">
        <v>2.59</v>
      </c>
      <c r="U39" s="144">
        <v>2.5419999999999998</v>
      </c>
      <c r="V39" s="144" t="s">
        <v>3</v>
      </c>
      <c r="W39" s="157">
        <v>2.113</v>
      </c>
      <c r="X39" s="146">
        <v>2.173</v>
      </c>
      <c r="Y39" s="146" t="s">
        <v>3</v>
      </c>
      <c r="Z39" s="147" t="s">
        <v>3</v>
      </c>
      <c r="AA39" s="163">
        <v>2.2999999999999998</v>
      </c>
      <c r="AB39" s="148" t="s">
        <v>3</v>
      </c>
      <c r="AC39" s="159">
        <v>2.0219999999999998</v>
      </c>
      <c r="AD39" s="149" t="s">
        <v>3</v>
      </c>
      <c r="AE39" s="150">
        <v>2.944</v>
      </c>
      <c r="AF39" s="150" t="s">
        <v>3</v>
      </c>
      <c r="AG39" s="150">
        <v>2.9769999999999999</v>
      </c>
      <c r="AH39" s="150" t="s">
        <v>3</v>
      </c>
      <c r="AI39" s="151" t="s">
        <v>3</v>
      </c>
      <c r="AJ39" s="151" t="s">
        <v>3</v>
      </c>
      <c r="AK39" s="151" t="s">
        <v>3</v>
      </c>
      <c r="AL39" s="151" t="s">
        <v>3</v>
      </c>
      <c r="AM39" s="151" t="s">
        <v>3</v>
      </c>
      <c r="AN39" s="152" t="s">
        <v>3</v>
      </c>
      <c r="AO39" s="152" t="s">
        <v>3</v>
      </c>
      <c r="AP39" s="152" t="s">
        <v>3</v>
      </c>
      <c r="AQ39" s="152" t="s">
        <v>3</v>
      </c>
      <c r="AR39" s="152" t="s">
        <v>3</v>
      </c>
      <c r="AS39" s="153" t="s">
        <v>3</v>
      </c>
      <c r="AT39" s="153" t="s">
        <v>3</v>
      </c>
      <c r="AU39" s="153" t="s">
        <v>3</v>
      </c>
      <c r="AV39" s="153" t="s">
        <v>3</v>
      </c>
      <c r="AW39" s="154" t="s">
        <v>3</v>
      </c>
      <c r="AX39" s="154" t="s">
        <v>3</v>
      </c>
      <c r="AY39" s="155" t="s">
        <v>3</v>
      </c>
      <c r="AZ39" s="155" t="s">
        <v>3</v>
      </c>
      <c r="BA39" s="156" t="s">
        <v>3</v>
      </c>
    </row>
    <row r="40" spans="1:53" x14ac:dyDescent="0.25">
      <c r="A40" s="38">
        <v>37</v>
      </c>
      <c r="B40" s="139" t="s">
        <v>6</v>
      </c>
      <c r="C40" s="38" t="s">
        <v>139</v>
      </c>
      <c r="D40" s="38" t="s">
        <v>177</v>
      </c>
      <c r="E40" s="48">
        <v>317.09117700000002</v>
      </c>
      <c r="F40" s="140" t="s">
        <v>564</v>
      </c>
      <c r="G40" s="140" t="s">
        <v>564</v>
      </c>
      <c r="H40" s="140" t="s">
        <v>564</v>
      </c>
      <c r="I40" s="160" t="s">
        <v>3</v>
      </c>
      <c r="J40" s="160" t="s">
        <v>3</v>
      </c>
      <c r="K40" s="164">
        <v>7.4813499999999999</v>
      </c>
      <c r="L40" s="145" t="s">
        <v>3</v>
      </c>
      <c r="M40" s="145">
        <v>2.61</v>
      </c>
      <c r="N40" s="145">
        <v>2.617</v>
      </c>
      <c r="O40" s="145">
        <v>2.6080000000000001</v>
      </c>
      <c r="P40" s="145">
        <v>2.6019999999999999</v>
      </c>
      <c r="Q40" s="145">
        <v>2.605</v>
      </c>
      <c r="R40" s="145">
        <v>2.5640000000000001</v>
      </c>
      <c r="S40" s="145">
        <v>2.5609999999999999</v>
      </c>
      <c r="T40" s="145">
        <v>2.6019999999999999</v>
      </c>
      <c r="U40" s="145">
        <v>2.605</v>
      </c>
      <c r="V40" s="145" t="s">
        <v>3</v>
      </c>
      <c r="W40" s="146" t="s">
        <v>564</v>
      </c>
      <c r="X40" s="146" t="s">
        <v>564</v>
      </c>
      <c r="Y40" s="146" t="s">
        <v>564</v>
      </c>
      <c r="Z40" s="158" t="s">
        <v>3</v>
      </c>
      <c r="AA40" s="163">
        <v>2.2999999999999998</v>
      </c>
      <c r="AB40" s="163" t="s">
        <v>3</v>
      </c>
      <c r="AC40" s="159">
        <v>2.028</v>
      </c>
      <c r="AD40" s="159" t="s">
        <v>3</v>
      </c>
      <c r="AE40" s="150">
        <v>2.593</v>
      </c>
      <c r="AF40" s="150" t="s">
        <v>3</v>
      </c>
      <c r="AG40" s="150">
        <v>2.8929999999999998</v>
      </c>
      <c r="AH40" s="150" t="s">
        <v>3</v>
      </c>
      <c r="AI40" s="161">
        <v>2.2854666666666699</v>
      </c>
      <c r="AJ40" s="151" t="s">
        <v>564</v>
      </c>
      <c r="AK40" s="161">
        <v>2.09696666666667</v>
      </c>
      <c r="AL40" s="151" t="s">
        <v>3</v>
      </c>
      <c r="AM40" s="151" t="s">
        <v>564</v>
      </c>
      <c r="AN40" s="152" t="s">
        <v>564</v>
      </c>
      <c r="AO40" s="152" t="s">
        <v>564</v>
      </c>
      <c r="AP40" s="152" t="s">
        <v>564</v>
      </c>
      <c r="AQ40" s="152" t="s">
        <v>564</v>
      </c>
      <c r="AR40" s="152" t="s">
        <v>564</v>
      </c>
      <c r="AS40" s="153" t="s">
        <v>3</v>
      </c>
      <c r="AT40" s="153" t="s">
        <v>3</v>
      </c>
      <c r="AU40" s="153" t="s">
        <v>3</v>
      </c>
      <c r="AV40" s="153" t="s">
        <v>3</v>
      </c>
      <c r="AW40" s="154">
        <v>2.9465300000000001</v>
      </c>
      <c r="AX40" s="154" t="s">
        <v>3</v>
      </c>
      <c r="AY40" s="155" t="s">
        <v>3</v>
      </c>
      <c r="AZ40" s="155" t="s">
        <v>3</v>
      </c>
      <c r="BA40" s="156" t="s">
        <v>3</v>
      </c>
    </row>
    <row r="41" spans="1:53" x14ac:dyDescent="0.25">
      <c r="A41" s="38">
        <v>38</v>
      </c>
      <c r="B41" s="139" t="s">
        <v>7</v>
      </c>
      <c r="C41" s="38" t="s">
        <v>138</v>
      </c>
      <c r="D41" s="38" t="s">
        <v>178</v>
      </c>
      <c r="E41" s="48">
        <v>380.15849400000002</v>
      </c>
      <c r="F41" s="140" t="s">
        <v>3</v>
      </c>
      <c r="G41" s="140" t="s">
        <v>3</v>
      </c>
      <c r="H41" s="140" t="s">
        <v>3</v>
      </c>
      <c r="I41" s="160" t="s">
        <v>3</v>
      </c>
      <c r="J41" s="160" t="s">
        <v>3</v>
      </c>
      <c r="K41" s="143" t="s">
        <v>3</v>
      </c>
      <c r="L41" s="144">
        <v>3.145</v>
      </c>
      <c r="M41" s="145">
        <v>3.1179999999999999</v>
      </c>
      <c r="N41" s="144">
        <v>3.0990000000000002</v>
      </c>
      <c r="O41" s="144">
        <v>3.0960000000000001</v>
      </c>
      <c r="P41" s="144">
        <v>3.105</v>
      </c>
      <c r="Q41" s="144">
        <v>3.1059999999999999</v>
      </c>
      <c r="R41" s="144">
        <v>3.3319999999999999</v>
      </c>
      <c r="S41" s="144">
        <v>3.113</v>
      </c>
      <c r="T41" s="144">
        <v>3.1419999999999999</v>
      </c>
      <c r="U41" s="144">
        <v>3.145</v>
      </c>
      <c r="V41" s="144" t="s">
        <v>3</v>
      </c>
      <c r="W41" s="157">
        <v>2.9630000000000001</v>
      </c>
      <c r="X41" s="146">
        <v>2.9119999999999999</v>
      </c>
      <c r="Y41" s="146" t="s">
        <v>3</v>
      </c>
      <c r="Z41" s="147" t="s">
        <v>3</v>
      </c>
      <c r="AA41" s="163">
        <v>3.2410000000000001</v>
      </c>
      <c r="AB41" s="148" t="s">
        <v>3</v>
      </c>
      <c r="AC41" s="159">
        <v>2.9</v>
      </c>
      <c r="AD41" s="149" t="s">
        <v>3</v>
      </c>
      <c r="AE41" s="150">
        <v>3.278</v>
      </c>
      <c r="AF41" s="150" t="s">
        <v>3</v>
      </c>
      <c r="AG41" s="150">
        <v>3.294</v>
      </c>
      <c r="AH41" s="150" t="s">
        <v>3</v>
      </c>
      <c r="AI41" s="151" t="s">
        <v>3</v>
      </c>
      <c r="AJ41" s="151" t="s">
        <v>3</v>
      </c>
      <c r="AK41" s="151" t="s">
        <v>3</v>
      </c>
      <c r="AL41" s="151" t="s">
        <v>3</v>
      </c>
      <c r="AM41" s="151" t="s">
        <v>3</v>
      </c>
      <c r="AN41" s="152" t="s">
        <v>3</v>
      </c>
      <c r="AO41" s="152" t="s">
        <v>3</v>
      </c>
      <c r="AP41" s="152" t="s">
        <v>3</v>
      </c>
      <c r="AQ41" s="152" t="s">
        <v>3</v>
      </c>
      <c r="AR41" s="152" t="s">
        <v>3</v>
      </c>
      <c r="AS41" s="153" t="s">
        <v>3</v>
      </c>
      <c r="AT41" s="153" t="s">
        <v>3</v>
      </c>
      <c r="AU41" s="153" t="s">
        <v>3</v>
      </c>
      <c r="AV41" s="153" t="s">
        <v>3</v>
      </c>
      <c r="AW41" s="154">
        <v>4.49</v>
      </c>
      <c r="AX41" s="154" t="s">
        <v>3</v>
      </c>
      <c r="AY41" s="155" t="s">
        <v>3</v>
      </c>
      <c r="AZ41" s="155" t="s">
        <v>3</v>
      </c>
      <c r="BA41" s="156" t="s">
        <v>3</v>
      </c>
    </row>
    <row r="42" spans="1:53" x14ac:dyDescent="0.25">
      <c r="A42" s="38">
        <v>39</v>
      </c>
      <c r="B42" s="139" t="s">
        <v>7</v>
      </c>
      <c r="C42" s="38" t="s">
        <v>139</v>
      </c>
      <c r="D42" s="38" t="s">
        <v>178</v>
      </c>
      <c r="E42" s="48">
        <v>361.117392</v>
      </c>
      <c r="F42" s="140" t="s">
        <v>564</v>
      </c>
      <c r="G42" s="140" t="s">
        <v>564</v>
      </c>
      <c r="H42" s="140" t="s">
        <v>564</v>
      </c>
      <c r="I42" s="160" t="s">
        <v>3</v>
      </c>
      <c r="J42" s="160" t="s">
        <v>3</v>
      </c>
      <c r="K42" s="164">
        <v>9.8331833333333307</v>
      </c>
      <c r="L42" s="145" t="s">
        <v>3</v>
      </c>
      <c r="M42" s="145">
        <v>3.15</v>
      </c>
      <c r="N42" s="145">
        <v>3.16</v>
      </c>
      <c r="O42" s="145">
        <v>3.1989999999999998</v>
      </c>
      <c r="P42" s="145">
        <v>3.1429999999999998</v>
      </c>
      <c r="Q42" s="145">
        <v>3.1440000000000001</v>
      </c>
      <c r="R42" s="145">
        <v>3.1070000000000002</v>
      </c>
      <c r="S42" s="145">
        <v>3.1509999999999998</v>
      </c>
      <c r="T42" s="145">
        <v>3.1469999999999998</v>
      </c>
      <c r="U42" s="145">
        <v>3.145</v>
      </c>
      <c r="V42" s="145" t="s">
        <v>3</v>
      </c>
      <c r="W42" s="146" t="s">
        <v>564</v>
      </c>
      <c r="X42" s="146" t="s">
        <v>564</v>
      </c>
      <c r="Y42" s="146" t="s">
        <v>564</v>
      </c>
      <c r="Z42" s="158">
        <v>3.2069999999999999</v>
      </c>
      <c r="AA42" s="163">
        <v>3.254</v>
      </c>
      <c r="AB42" s="163" t="s">
        <v>3</v>
      </c>
      <c r="AC42" s="159">
        <v>2.9039999999999999</v>
      </c>
      <c r="AD42" s="159" t="s">
        <v>3</v>
      </c>
      <c r="AE42" s="150">
        <v>2.976</v>
      </c>
      <c r="AF42" s="150" t="s">
        <v>3</v>
      </c>
      <c r="AG42" s="150">
        <v>3.1760000000000002</v>
      </c>
      <c r="AH42" s="150" t="s">
        <v>3</v>
      </c>
      <c r="AI42" s="161">
        <v>2.8365833333333299</v>
      </c>
      <c r="AJ42" s="151" t="s">
        <v>564</v>
      </c>
      <c r="AK42" s="161">
        <v>2.71091666666667</v>
      </c>
      <c r="AL42" s="151" t="s">
        <v>3</v>
      </c>
      <c r="AM42" s="151" t="s">
        <v>564</v>
      </c>
      <c r="AN42" s="152" t="s">
        <v>564</v>
      </c>
      <c r="AO42" s="152" t="s">
        <v>564</v>
      </c>
      <c r="AP42" s="152" t="s">
        <v>564</v>
      </c>
      <c r="AQ42" s="152" t="s">
        <v>564</v>
      </c>
      <c r="AR42" s="152" t="s">
        <v>564</v>
      </c>
      <c r="AS42" s="153" t="s">
        <v>3</v>
      </c>
      <c r="AT42" s="153" t="s">
        <v>3</v>
      </c>
      <c r="AU42" s="153" t="s">
        <v>3</v>
      </c>
      <c r="AV42" s="153" t="s">
        <v>3</v>
      </c>
      <c r="AW42" s="154">
        <v>4.3860400000000004</v>
      </c>
      <c r="AX42" s="154" t="s">
        <v>3</v>
      </c>
      <c r="AY42" s="155" t="s">
        <v>3</v>
      </c>
      <c r="AZ42" s="155" t="s">
        <v>3</v>
      </c>
      <c r="BA42" s="156" t="s">
        <v>3</v>
      </c>
    </row>
    <row r="43" spans="1:53" x14ac:dyDescent="0.25">
      <c r="A43" s="38">
        <v>40</v>
      </c>
      <c r="B43" s="139" t="s">
        <v>8</v>
      </c>
      <c r="C43" s="38" t="s">
        <v>138</v>
      </c>
      <c r="D43" s="38" t="s">
        <v>179</v>
      </c>
      <c r="E43" s="48">
        <v>424.184708</v>
      </c>
      <c r="F43" s="140" t="s">
        <v>3</v>
      </c>
      <c r="G43" s="140" t="s">
        <v>3</v>
      </c>
      <c r="H43" s="140" t="s">
        <v>3</v>
      </c>
      <c r="I43" s="160" t="s">
        <v>3</v>
      </c>
      <c r="J43" s="160" t="s">
        <v>3</v>
      </c>
      <c r="K43" s="143" t="s">
        <v>3</v>
      </c>
      <c r="L43" s="144">
        <v>3.5609999999999999</v>
      </c>
      <c r="M43" s="145">
        <v>3.5230000000000001</v>
      </c>
      <c r="N43" s="144">
        <v>3.5459999999999998</v>
      </c>
      <c r="O43" s="144">
        <v>3.5449999999999999</v>
      </c>
      <c r="P43" s="144">
        <v>3.5569999999999999</v>
      </c>
      <c r="Q43" s="144">
        <v>3.5609999999999999</v>
      </c>
      <c r="R43" s="144">
        <v>3.6850000000000001</v>
      </c>
      <c r="S43" s="144">
        <v>3.5630000000000002</v>
      </c>
      <c r="T43" s="144">
        <v>3.5419999999999998</v>
      </c>
      <c r="U43" s="144">
        <v>3.5430000000000001</v>
      </c>
      <c r="V43" s="144">
        <v>3.5510000000000002</v>
      </c>
      <c r="W43" s="157">
        <v>3.5419999999999998</v>
      </c>
      <c r="X43" s="146">
        <v>3.4649999999999999</v>
      </c>
      <c r="Y43" s="146" t="s">
        <v>3</v>
      </c>
      <c r="Z43" s="147" t="s">
        <v>3</v>
      </c>
      <c r="AA43" s="163">
        <v>3.859</v>
      </c>
      <c r="AB43" s="148" t="s">
        <v>3</v>
      </c>
      <c r="AC43" s="159">
        <v>3.5030000000000001</v>
      </c>
      <c r="AD43" s="149" t="s">
        <v>3</v>
      </c>
      <c r="AE43" s="150">
        <v>3.5609999999999999</v>
      </c>
      <c r="AF43" s="150" t="s">
        <v>3</v>
      </c>
      <c r="AG43" s="150">
        <v>3.5609999999999999</v>
      </c>
      <c r="AH43" s="150" t="s">
        <v>3</v>
      </c>
      <c r="AI43" s="151" t="s">
        <v>3</v>
      </c>
      <c r="AJ43" s="151" t="s">
        <v>3</v>
      </c>
      <c r="AK43" s="151" t="s">
        <v>3</v>
      </c>
      <c r="AL43" s="151" t="s">
        <v>3</v>
      </c>
      <c r="AM43" s="151" t="s">
        <v>3</v>
      </c>
      <c r="AN43" s="152" t="s">
        <v>3</v>
      </c>
      <c r="AO43" s="152" t="s">
        <v>3</v>
      </c>
      <c r="AP43" s="152" t="s">
        <v>3</v>
      </c>
      <c r="AQ43" s="152" t="s">
        <v>3</v>
      </c>
      <c r="AR43" s="152" t="s">
        <v>3</v>
      </c>
      <c r="AS43" s="153" t="s">
        <v>3</v>
      </c>
      <c r="AT43" s="153" t="s">
        <v>3</v>
      </c>
      <c r="AU43" s="153" t="s">
        <v>3</v>
      </c>
      <c r="AV43" s="153" t="s">
        <v>3</v>
      </c>
      <c r="AW43" s="154">
        <v>5.45</v>
      </c>
      <c r="AX43" s="154" t="s">
        <v>3</v>
      </c>
      <c r="AY43" s="155">
        <v>5.46</v>
      </c>
      <c r="AZ43" s="155" t="s">
        <v>3</v>
      </c>
      <c r="BA43" s="156" t="s">
        <v>3</v>
      </c>
    </row>
    <row r="44" spans="1:53" x14ac:dyDescent="0.25">
      <c r="A44" s="38">
        <v>41</v>
      </c>
      <c r="B44" s="139" t="s">
        <v>8</v>
      </c>
      <c r="C44" s="38" t="s">
        <v>139</v>
      </c>
      <c r="D44" s="38" t="s">
        <v>179</v>
      </c>
      <c r="E44" s="48">
        <v>405.14360599999998</v>
      </c>
      <c r="F44" s="140" t="s">
        <v>564</v>
      </c>
      <c r="G44" s="140" t="s">
        <v>564</v>
      </c>
      <c r="H44" s="140" t="s">
        <v>564</v>
      </c>
      <c r="I44" s="160" t="s">
        <v>3</v>
      </c>
      <c r="J44" s="160" t="s">
        <v>3</v>
      </c>
      <c r="K44" s="164">
        <v>12.2945166666667</v>
      </c>
      <c r="L44" s="145" t="s">
        <v>3</v>
      </c>
      <c r="M44" s="145">
        <v>3.5950000000000002</v>
      </c>
      <c r="N44" s="145">
        <v>3.552</v>
      </c>
      <c r="O44" s="145">
        <v>3.5920000000000001</v>
      </c>
      <c r="P44" s="145">
        <v>3.5369999999999999</v>
      </c>
      <c r="Q44" s="145">
        <v>3.585</v>
      </c>
      <c r="R44" s="145">
        <v>3.55</v>
      </c>
      <c r="S44" s="145">
        <v>3.5430000000000001</v>
      </c>
      <c r="T44" s="145">
        <v>3.59</v>
      </c>
      <c r="U44" s="145">
        <v>3.589</v>
      </c>
      <c r="V44" s="145" t="s">
        <v>3</v>
      </c>
      <c r="W44" s="146" t="s">
        <v>564</v>
      </c>
      <c r="X44" s="146" t="s">
        <v>564</v>
      </c>
      <c r="Y44" s="146" t="s">
        <v>564</v>
      </c>
      <c r="Z44" s="158">
        <v>3.698</v>
      </c>
      <c r="AA44" s="163">
        <v>3.8479999999999999</v>
      </c>
      <c r="AB44" s="163" t="s">
        <v>3</v>
      </c>
      <c r="AC44" s="159">
        <v>3.5190000000000001</v>
      </c>
      <c r="AD44" s="159" t="s">
        <v>3</v>
      </c>
      <c r="AE44" s="150">
        <v>3.2429999999999999</v>
      </c>
      <c r="AF44" s="150" t="s">
        <v>3</v>
      </c>
      <c r="AG44" s="150">
        <v>3.46</v>
      </c>
      <c r="AH44" s="150" t="s">
        <v>3</v>
      </c>
      <c r="AI44" s="161">
        <v>3.8131166666666698</v>
      </c>
      <c r="AJ44" s="151" t="s">
        <v>564</v>
      </c>
      <c r="AK44" s="161">
        <v>3.2306166666666698</v>
      </c>
      <c r="AL44" s="161">
        <v>3.3001499999999999</v>
      </c>
      <c r="AM44" s="151" t="s">
        <v>564</v>
      </c>
      <c r="AN44" s="152" t="s">
        <v>564</v>
      </c>
      <c r="AO44" s="152" t="s">
        <v>564</v>
      </c>
      <c r="AP44" s="152" t="s">
        <v>564</v>
      </c>
      <c r="AQ44" s="152" t="s">
        <v>564</v>
      </c>
      <c r="AR44" s="152" t="s">
        <v>564</v>
      </c>
      <c r="AS44" s="153" t="s">
        <v>3</v>
      </c>
      <c r="AT44" s="153" t="s">
        <v>3</v>
      </c>
      <c r="AU44" s="153" t="s">
        <v>3</v>
      </c>
      <c r="AV44" s="153" t="s">
        <v>3</v>
      </c>
      <c r="AW44" s="154">
        <v>5.4021600000000003</v>
      </c>
      <c r="AX44" s="154" t="s">
        <v>3</v>
      </c>
      <c r="AY44" s="155" t="s">
        <v>3</v>
      </c>
      <c r="AZ44" s="155" t="s">
        <v>3</v>
      </c>
      <c r="BA44" s="156" t="s">
        <v>3</v>
      </c>
    </row>
    <row r="45" spans="1:53" ht="14.25" customHeight="1" x14ac:dyDescent="0.25">
      <c r="A45" s="38">
        <v>42</v>
      </c>
      <c r="B45" s="139" t="s">
        <v>9</v>
      </c>
      <c r="C45" s="38" t="s">
        <v>138</v>
      </c>
      <c r="D45" s="38" t="s">
        <v>180</v>
      </c>
      <c r="E45" s="48">
        <v>468.21092299999998</v>
      </c>
      <c r="F45" s="140" t="s">
        <v>3</v>
      </c>
      <c r="G45" s="140" t="s">
        <v>3</v>
      </c>
      <c r="H45" s="140" t="s">
        <v>3</v>
      </c>
      <c r="I45" s="160" t="s">
        <v>3</v>
      </c>
      <c r="J45" s="160" t="s">
        <v>3</v>
      </c>
      <c r="K45" s="143" t="s">
        <v>3</v>
      </c>
      <c r="L45" s="144">
        <v>3.8740000000000001</v>
      </c>
      <c r="M45" s="145">
        <v>3.87</v>
      </c>
      <c r="N45" s="144">
        <v>3.895</v>
      </c>
      <c r="O45" s="144">
        <v>3.89</v>
      </c>
      <c r="P45" s="144">
        <v>3.859</v>
      </c>
      <c r="Q45" s="144">
        <v>3.9089999999999998</v>
      </c>
      <c r="R45" s="144">
        <v>4.0350000000000001</v>
      </c>
      <c r="S45" s="144">
        <v>3.915</v>
      </c>
      <c r="T45" s="144">
        <v>3.8820000000000001</v>
      </c>
      <c r="U45" s="144">
        <v>3.8919999999999999</v>
      </c>
      <c r="V45" s="144">
        <v>3.9460000000000002</v>
      </c>
      <c r="W45" s="146">
        <v>3.9340000000000002</v>
      </c>
      <c r="X45" s="146">
        <v>3.8570000000000002</v>
      </c>
      <c r="Y45" s="146" t="s">
        <v>3</v>
      </c>
      <c r="Z45" s="147" t="s">
        <v>3</v>
      </c>
      <c r="AA45" s="148">
        <v>4.2789999999999999</v>
      </c>
      <c r="AB45" s="148" t="s">
        <v>3</v>
      </c>
      <c r="AC45" s="149">
        <v>3.9380000000000002</v>
      </c>
      <c r="AD45" s="149" t="s">
        <v>3</v>
      </c>
      <c r="AE45" s="150">
        <v>3.8109999999999999</v>
      </c>
      <c r="AF45" s="150" t="s">
        <v>3</v>
      </c>
      <c r="AG45" s="150">
        <v>3.7770000000000001</v>
      </c>
      <c r="AH45" s="150" t="s">
        <v>3</v>
      </c>
      <c r="AI45" s="151">
        <v>3.81308333333333</v>
      </c>
      <c r="AJ45" s="151">
        <v>3.9283333333333301</v>
      </c>
      <c r="AK45" s="151">
        <v>3.7398166666666701</v>
      </c>
      <c r="AL45" s="151" t="s">
        <v>3</v>
      </c>
      <c r="AM45" s="151" t="s">
        <v>3</v>
      </c>
      <c r="AN45" s="152" t="s">
        <v>3</v>
      </c>
      <c r="AO45" s="152" t="s">
        <v>3</v>
      </c>
      <c r="AP45" s="152" t="s">
        <v>3</v>
      </c>
      <c r="AQ45" s="152" t="s">
        <v>3</v>
      </c>
      <c r="AR45" s="152" t="s">
        <v>3</v>
      </c>
      <c r="AS45" s="153" t="s">
        <v>3</v>
      </c>
      <c r="AT45" s="153" t="s">
        <v>3</v>
      </c>
      <c r="AU45" s="153" t="s">
        <v>3</v>
      </c>
      <c r="AV45" s="153" t="s">
        <v>3</v>
      </c>
      <c r="AW45" s="154">
        <v>6.17</v>
      </c>
      <c r="AX45" s="154" t="s">
        <v>3</v>
      </c>
      <c r="AY45" s="155">
        <v>6.17</v>
      </c>
      <c r="AZ45" s="155" t="s">
        <v>3</v>
      </c>
      <c r="BA45" s="156" t="s">
        <v>3</v>
      </c>
    </row>
    <row r="46" spans="1:53" x14ac:dyDescent="0.25">
      <c r="A46" s="38">
        <v>43</v>
      </c>
      <c r="B46" s="139" t="s">
        <v>9</v>
      </c>
      <c r="C46" s="38" t="s">
        <v>139</v>
      </c>
      <c r="D46" s="38" t="s">
        <v>180</v>
      </c>
      <c r="E46" s="48">
        <v>449.16982100000001</v>
      </c>
      <c r="F46" s="140" t="s">
        <v>564</v>
      </c>
      <c r="G46" s="140" t="s">
        <v>564</v>
      </c>
      <c r="H46" s="140" t="s">
        <v>564</v>
      </c>
      <c r="I46" s="160" t="s">
        <v>3</v>
      </c>
      <c r="J46" s="160" t="s">
        <v>3</v>
      </c>
      <c r="K46" s="164">
        <v>13.579183333333299</v>
      </c>
      <c r="L46" s="145" t="s">
        <v>3</v>
      </c>
      <c r="M46" s="145">
        <v>3.9409999999999998</v>
      </c>
      <c r="N46" s="145">
        <v>3.8969999999999998</v>
      </c>
      <c r="O46" s="145">
        <v>3.9359999999999999</v>
      </c>
      <c r="P46" s="145">
        <v>3.8809999999999998</v>
      </c>
      <c r="Q46" s="145">
        <v>3.9340000000000002</v>
      </c>
      <c r="R46" s="145">
        <v>3.891</v>
      </c>
      <c r="S46" s="145">
        <v>3.8889999999999998</v>
      </c>
      <c r="T46" s="145">
        <v>3.8919999999999999</v>
      </c>
      <c r="U46" s="145">
        <v>3.931</v>
      </c>
      <c r="V46" s="145" t="s">
        <v>3</v>
      </c>
      <c r="W46" s="146" t="s">
        <v>564</v>
      </c>
      <c r="X46" s="146" t="s">
        <v>564</v>
      </c>
      <c r="Y46" s="146" t="s">
        <v>564</v>
      </c>
      <c r="Z46" s="158">
        <v>4.09</v>
      </c>
      <c r="AA46" s="163">
        <v>4.2629999999999999</v>
      </c>
      <c r="AB46" s="163" t="s">
        <v>3</v>
      </c>
      <c r="AC46" s="159">
        <v>3.9089999999999998</v>
      </c>
      <c r="AD46" s="159" t="s">
        <v>3</v>
      </c>
      <c r="AE46" s="150">
        <v>3.51</v>
      </c>
      <c r="AF46" s="150" t="s">
        <v>3</v>
      </c>
      <c r="AG46" s="150">
        <v>3.6760000000000002</v>
      </c>
      <c r="AH46" s="150" t="s">
        <v>3</v>
      </c>
      <c r="AI46" s="161">
        <v>4.2490166666666704</v>
      </c>
      <c r="AJ46" s="151" t="s">
        <v>564</v>
      </c>
      <c r="AK46" s="161">
        <v>3.70845</v>
      </c>
      <c r="AL46" s="161">
        <v>3.7898833333333299</v>
      </c>
      <c r="AM46" s="151" t="s">
        <v>564</v>
      </c>
      <c r="AN46" s="152" t="s">
        <v>564</v>
      </c>
      <c r="AO46" s="152" t="s">
        <v>564</v>
      </c>
      <c r="AP46" s="152" t="s">
        <v>564</v>
      </c>
      <c r="AQ46" s="152" t="s">
        <v>564</v>
      </c>
      <c r="AR46" s="152" t="s">
        <v>564</v>
      </c>
      <c r="AS46" s="153" t="s">
        <v>3</v>
      </c>
      <c r="AT46" s="153" t="s">
        <v>3</v>
      </c>
      <c r="AU46" s="153" t="s">
        <v>3</v>
      </c>
      <c r="AV46" s="153" t="s">
        <v>3</v>
      </c>
      <c r="AW46" s="154" t="s">
        <v>3</v>
      </c>
      <c r="AX46" s="154" t="s">
        <v>3</v>
      </c>
      <c r="AY46" s="155" t="s">
        <v>3</v>
      </c>
      <c r="AZ46" s="155" t="s">
        <v>3</v>
      </c>
      <c r="BA46" s="156" t="s">
        <v>3</v>
      </c>
    </row>
    <row r="47" spans="1:53" x14ac:dyDescent="0.25">
      <c r="A47" s="38">
        <v>44</v>
      </c>
      <c r="B47" s="139" t="s">
        <v>10</v>
      </c>
      <c r="C47" s="38" t="s">
        <v>138</v>
      </c>
      <c r="D47" s="38" t="s">
        <v>181</v>
      </c>
      <c r="E47" s="48">
        <v>512.23713799999996</v>
      </c>
      <c r="F47" s="140" t="s">
        <v>3</v>
      </c>
      <c r="G47" s="140" t="s">
        <v>3</v>
      </c>
      <c r="H47" s="140" t="s">
        <v>3</v>
      </c>
      <c r="I47" s="160" t="s">
        <v>3</v>
      </c>
      <c r="J47" s="160" t="s">
        <v>3</v>
      </c>
      <c r="K47" s="143" t="s">
        <v>3</v>
      </c>
      <c r="L47" s="144">
        <v>4.1849999999999996</v>
      </c>
      <c r="M47" s="145">
        <v>4.2210000000000001</v>
      </c>
      <c r="N47" s="144">
        <v>4.141</v>
      </c>
      <c r="O47" s="144">
        <v>4.1849999999999996</v>
      </c>
      <c r="P47" s="144">
        <v>4.1589999999999998</v>
      </c>
      <c r="Q47" s="144">
        <v>4.16</v>
      </c>
      <c r="R47" s="144">
        <v>4.2839999999999998</v>
      </c>
      <c r="S47" s="144">
        <v>4.1639999999999997</v>
      </c>
      <c r="T47" s="144">
        <v>4.1769999999999996</v>
      </c>
      <c r="U47" s="144">
        <v>4.1879999999999997</v>
      </c>
      <c r="V47" s="144">
        <v>4.2510000000000003</v>
      </c>
      <c r="W47" s="146">
        <v>4.2510000000000003</v>
      </c>
      <c r="X47" s="146">
        <v>4.1619999999999999</v>
      </c>
      <c r="Y47" s="146" t="s">
        <v>3</v>
      </c>
      <c r="Z47" s="147" t="s">
        <v>3</v>
      </c>
      <c r="AA47" s="148">
        <v>4.6040000000000001</v>
      </c>
      <c r="AB47" s="148" t="s">
        <v>3</v>
      </c>
      <c r="AC47" s="149">
        <v>4.2370000000000001</v>
      </c>
      <c r="AD47" s="149" t="s">
        <v>3</v>
      </c>
      <c r="AE47" s="150">
        <v>3.9609999999999999</v>
      </c>
      <c r="AF47" s="150" t="s">
        <v>3</v>
      </c>
      <c r="AG47" s="150">
        <v>3.9940000000000002</v>
      </c>
      <c r="AH47" s="150" t="s">
        <v>3</v>
      </c>
      <c r="AI47" s="151">
        <v>4.2489833333333298</v>
      </c>
      <c r="AJ47" s="151">
        <v>4.3642166666666702</v>
      </c>
      <c r="AK47" s="151">
        <v>4.2385666666666699</v>
      </c>
      <c r="AL47" s="151" t="s">
        <v>3</v>
      </c>
      <c r="AM47" s="151" t="s">
        <v>3</v>
      </c>
      <c r="AN47" s="152" t="s">
        <v>3</v>
      </c>
      <c r="AO47" s="152" t="s">
        <v>3</v>
      </c>
      <c r="AP47" s="152" t="s">
        <v>3</v>
      </c>
      <c r="AQ47" s="152" t="s">
        <v>3</v>
      </c>
      <c r="AR47" s="152" t="s">
        <v>3</v>
      </c>
      <c r="AS47" s="153" t="s">
        <v>3</v>
      </c>
      <c r="AT47" s="153" t="s">
        <v>3</v>
      </c>
      <c r="AU47" s="153" t="s">
        <v>3</v>
      </c>
      <c r="AV47" s="153" t="s">
        <v>3</v>
      </c>
      <c r="AW47" s="154">
        <v>6.71</v>
      </c>
      <c r="AX47" s="154" t="s">
        <v>3</v>
      </c>
      <c r="AY47" s="155">
        <v>6.72</v>
      </c>
      <c r="AZ47" s="155" t="s">
        <v>3</v>
      </c>
      <c r="BA47" s="156" t="s">
        <v>3</v>
      </c>
    </row>
    <row r="48" spans="1:53" x14ac:dyDescent="0.25">
      <c r="A48" s="38">
        <v>45</v>
      </c>
      <c r="B48" s="139" t="s">
        <v>10</v>
      </c>
      <c r="C48" s="38" t="s">
        <v>139</v>
      </c>
      <c r="D48" s="38" t="s">
        <v>181</v>
      </c>
      <c r="E48" s="48">
        <v>493.19603599999999</v>
      </c>
      <c r="F48" s="140" t="s">
        <v>564</v>
      </c>
      <c r="G48" s="140" t="s">
        <v>564</v>
      </c>
      <c r="H48" s="140" t="s">
        <v>564</v>
      </c>
      <c r="I48" s="160" t="s">
        <v>3</v>
      </c>
      <c r="J48" s="160" t="s">
        <v>3</v>
      </c>
      <c r="K48" s="164">
        <v>14.465350000000001</v>
      </c>
      <c r="L48" s="145" t="s">
        <v>3</v>
      </c>
      <c r="M48" s="145">
        <v>4.1879999999999997</v>
      </c>
      <c r="N48" s="145">
        <v>4.1929999999999996</v>
      </c>
      <c r="O48" s="145">
        <v>4.1840000000000002</v>
      </c>
      <c r="P48" s="145">
        <v>4.1760000000000002</v>
      </c>
      <c r="Q48" s="145">
        <v>4.1790000000000003</v>
      </c>
      <c r="R48" s="145">
        <v>4.1379999999999999</v>
      </c>
      <c r="S48" s="145">
        <v>4.1849999999999996</v>
      </c>
      <c r="T48" s="145">
        <v>4.1870000000000003</v>
      </c>
      <c r="U48" s="145">
        <v>4.1790000000000003</v>
      </c>
      <c r="V48" s="145" t="s">
        <v>3</v>
      </c>
      <c r="W48" s="146" t="s">
        <v>564</v>
      </c>
      <c r="X48" s="146" t="s">
        <v>564</v>
      </c>
      <c r="Y48" s="146" t="s">
        <v>564</v>
      </c>
      <c r="Z48" s="158">
        <v>4.383</v>
      </c>
      <c r="AA48" s="163">
        <v>4.5759999999999996</v>
      </c>
      <c r="AB48" s="163" t="s">
        <v>3</v>
      </c>
      <c r="AC48" s="159">
        <v>4.2699999999999996</v>
      </c>
      <c r="AD48" s="159" t="s">
        <v>3</v>
      </c>
      <c r="AE48" s="150">
        <v>3.7090000000000001</v>
      </c>
      <c r="AF48" s="150" t="s">
        <v>3</v>
      </c>
      <c r="AG48" s="150">
        <v>3.843</v>
      </c>
      <c r="AH48" s="150" t="s">
        <v>3</v>
      </c>
      <c r="AI48" s="161">
        <v>4.6534833333333303</v>
      </c>
      <c r="AJ48" s="151" t="s">
        <v>564</v>
      </c>
      <c r="AK48" s="161">
        <v>4.1443500000000002</v>
      </c>
      <c r="AL48" s="161">
        <v>4.2105833333333296</v>
      </c>
      <c r="AM48" s="151" t="s">
        <v>564</v>
      </c>
      <c r="AN48" s="152" t="s">
        <v>564</v>
      </c>
      <c r="AO48" s="152" t="s">
        <v>564</v>
      </c>
      <c r="AP48" s="152" t="s">
        <v>564</v>
      </c>
      <c r="AQ48" s="152" t="s">
        <v>564</v>
      </c>
      <c r="AR48" s="152" t="s">
        <v>564</v>
      </c>
      <c r="AS48" s="153" t="s">
        <v>3</v>
      </c>
      <c r="AT48" s="153" t="s">
        <v>3</v>
      </c>
      <c r="AU48" s="153" t="s">
        <v>3</v>
      </c>
      <c r="AV48" s="153" t="s">
        <v>3</v>
      </c>
      <c r="AW48" s="154" t="s">
        <v>3</v>
      </c>
      <c r="AX48" s="154" t="s">
        <v>3</v>
      </c>
      <c r="AY48" s="155" t="s">
        <v>3</v>
      </c>
      <c r="AZ48" s="155" t="s">
        <v>3</v>
      </c>
      <c r="BA48" s="156" t="s">
        <v>3</v>
      </c>
    </row>
    <row r="49" spans="1:53" x14ac:dyDescent="0.25">
      <c r="A49" s="38">
        <v>46</v>
      </c>
      <c r="B49" s="139" t="s">
        <v>11</v>
      </c>
      <c r="C49" s="38" t="s">
        <v>138</v>
      </c>
      <c r="D49" s="38" t="s">
        <v>182</v>
      </c>
      <c r="E49" s="48">
        <v>556.26335300000005</v>
      </c>
      <c r="F49" s="140" t="s">
        <v>3</v>
      </c>
      <c r="G49" s="140" t="s">
        <v>3</v>
      </c>
      <c r="H49" s="140" t="s">
        <v>3</v>
      </c>
      <c r="I49" s="160" t="s">
        <v>3</v>
      </c>
      <c r="J49" s="160" t="s">
        <v>3</v>
      </c>
      <c r="K49" s="143" t="s">
        <v>3</v>
      </c>
      <c r="L49" s="145">
        <v>4.6020000000000003</v>
      </c>
      <c r="M49" s="145">
        <v>4.423</v>
      </c>
      <c r="N49" s="144">
        <v>4.3920000000000003</v>
      </c>
      <c r="O49" s="144">
        <v>4.4379999999999997</v>
      </c>
      <c r="P49" s="144">
        <v>4.4089999999999998</v>
      </c>
      <c r="Q49" s="144">
        <v>4.415</v>
      </c>
      <c r="R49" s="144">
        <v>4.5330000000000004</v>
      </c>
      <c r="S49" s="144">
        <v>4.4139999999999997</v>
      </c>
      <c r="T49" s="144">
        <v>4.4260000000000002</v>
      </c>
      <c r="U49" s="144">
        <v>4.4349999999999996</v>
      </c>
      <c r="V49" s="144">
        <v>4.4489999999999998</v>
      </c>
      <c r="W49" s="146">
        <v>4.5449999999999999</v>
      </c>
      <c r="X49" s="146">
        <v>4.4459999999999997</v>
      </c>
      <c r="Y49" s="146" t="s">
        <v>3</v>
      </c>
      <c r="Z49" s="147" t="s">
        <v>3</v>
      </c>
      <c r="AA49" s="148">
        <v>4.8390000000000004</v>
      </c>
      <c r="AB49" s="148" t="s">
        <v>3</v>
      </c>
      <c r="AC49" s="149">
        <v>4.5069999999999997</v>
      </c>
      <c r="AD49" s="149" t="s">
        <v>3</v>
      </c>
      <c r="AE49" s="150">
        <v>4.1440000000000001</v>
      </c>
      <c r="AF49" s="150" t="s">
        <v>3</v>
      </c>
      <c r="AG49" s="150">
        <v>4.1440000000000001</v>
      </c>
      <c r="AH49" s="150" t="s">
        <v>3</v>
      </c>
      <c r="AI49" s="151">
        <v>4.6534500000000003</v>
      </c>
      <c r="AJ49" s="151">
        <v>4.6953666666666702</v>
      </c>
      <c r="AK49" s="151">
        <v>4.6430333333333298</v>
      </c>
      <c r="AL49" s="151" t="s">
        <v>3</v>
      </c>
      <c r="AM49" s="151" t="s">
        <v>3</v>
      </c>
      <c r="AN49" s="152" t="s">
        <v>3</v>
      </c>
      <c r="AO49" s="152" t="s">
        <v>3</v>
      </c>
      <c r="AP49" s="152" t="s">
        <v>3</v>
      </c>
      <c r="AQ49" s="152" t="s">
        <v>3</v>
      </c>
      <c r="AR49" s="152" t="s">
        <v>3</v>
      </c>
      <c r="AS49" s="153" t="s">
        <v>3</v>
      </c>
      <c r="AT49" s="153" t="s">
        <v>3</v>
      </c>
      <c r="AU49" s="153" t="s">
        <v>3</v>
      </c>
      <c r="AV49" s="153" t="s">
        <v>3</v>
      </c>
      <c r="AW49" s="154" t="s">
        <v>3</v>
      </c>
      <c r="AX49" s="154" t="s">
        <v>3</v>
      </c>
      <c r="AY49" s="155" t="s">
        <v>3</v>
      </c>
      <c r="AZ49" s="155" t="s">
        <v>3</v>
      </c>
      <c r="BA49" s="156" t="s">
        <v>3</v>
      </c>
    </row>
    <row r="50" spans="1:53" x14ac:dyDescent="0.25">
      <c r="A50" s="38">
        <v>47</v>
      </c>
      <c r="B50" s="139" t="s">
        <v>11</v>
      </c>
      <c r="C50" s="38" t="s">
        <v>139</v>
      </c>
      <c r="D50" s="38" t="s">
        <v>182</v>
      </c>
      <c r="E50" s="48">
        <v>537.22225100000003</v>
      </c>
      <c r="F50" s="140" t="s">
        <v>564</v>
      </c>
      <c r="G50" s="140" t="s">
        <v>564</v>
      </c>
      <c r="H50" s="140" t="s">
        <v>564</v>
      </c>
      <c r="I50" s="160" t="s">
        <v>3</v>
      </c>
      <c r="J50" s="160" t="s">
        <v>3</v>
      </c>
      <c r="K50" s="164">
        <v>15.1103666666667</v>
      </c>
      <c r="L50" s="145" t="s">
        <v>3</v>
      </c>
      <c r="M50" s="145">
        <v>4.4320000000000004</v>
      </c>
      <c r="N50" s="145">
        <v>4.4370000000000003</v>
      </c>
      <c r="O50" s="145">
        <v>4.4800000000000004</v>
      </c>
      <c r="P50" s="145">
        <v>4.423</v>
      </c>
      <c r="Q50" s="145">
        <v>4.4249999999999998</v>
      </c>
      <c r="R50" s="145">
        <v>4.3860000000000001</v>
      </c>
      <c r="S50" s="145">
        <v>4.4349999999999996</v>
      </c>
      <c r="T50" s="145">
        <v>4.431</v>
      </c>
      <c r="U50" s="145">
        <v>4.4249999999999998</v>
      </c>
      <c r="V50" s="145" t="s">
        <v>3</v>
      </c>
      <c r="W50" s="146" t="s">
        <v>564</v>
      </c>
      <c r="X50" s="146" t="s">
        <v>564</v>
      </c>
      <c r="Y50" s="146" t="s">
        <v>564</v>
      </c>
      <c r="Z50" s="158">
        <v>4.6509999999999998</v>
      </c>
      <c r="AA50" s="163">
        <v>4.8369999999999997</v>
      </c>
      <c r="AB50" s="163" t="s">
        <v>3</v>
      </c>
      <c r="AC50" s="159" t="s">
        <v>3</v>
      </c>
      <c r="AD50" s="159" t="s">
        <v>3</v>
      </c>
      <c r="AE50" s="150">
        <v>3.8929999999999998</v>
      </c>
      <c r="AF50" s="150" t="s">
        <v>3</v>
      </c>
      <c r="AG50" s="150">
        <v>4.0259999999999998</v>
      </c>
      <c r="AH50" s="150" t="s">
        <v>3</v>
      </c>
      <c r="AI50" s="151">
        <v>4.6429999999999998</v>
      </c>
      <c r="AJ50" s="151" t="s">
        <v>564</v>
      </c>
      <c r="AK50" s="161">
        <v>4.5593000000000004</v>
      </c>
      <c r="AL50" s="161">
        <v>4.6174666666666697</v>
      </c>
      <c r="AM50" s="151" t="s">
        <v>564</v>
      </c>
      <c r="AN50" s="152" t="s">
        <v>564</v>
      </c>
      <c r="AO50" s="152" t="s">
        <v>564</v>
      </c>
      <c r="AP50" s="152" t="s">
        <v>564</v>
      </c>
      <c r="AQ50" s="152" t="s">
        <v>564</v>
      </c>
      <c r="AR50" s="152" t="s">
        <v>564</v>
      </c>
      <c r="AS50" s="153" t="s">
        <v>3</v>
      </c>
      <c r="AT50" s="153" t="s">
        <v>3</v>
      </c>
      <c r="AU50" s="153" t="s">
        <v>3</v>
      </c>
      <c r="AV50" s="153" t="s">
        <v>3</v>
      </c>
      <c r="AW50" s="154" t="s">
        <v>3</v>
      </c>
      <c r="AX50" s="154" t="s">
        <v>3</v>
      </c>
      <c r="AY50" s="155" t="s">
        <v>3</v>
      </c>
      <c r="AZ50" s="155" t="s">
        <v>3</v>
      </c>
      <c r="BA50" s="156" t="s">
        <v>3</v>
      </c>
    </row>
    <row r="51" spans="1:53" x14ac:dyDescent="0.25">
      <c r="A51" s="38">
        <v>48</v>
      </c>
      <c r="B51" s="139" t="s">
        <v>12</v>
      </c>
      <c r="C51" s="38" t="s">
        <v>138</v>
      </c>
      <c r="D51" s="38" t="s">
        <v>183</v>
      </c>
      <c r="E51" s="48">
        <v>600.28956700000003</v>
      </c>
      <c r="F51" s="140" t="s">
        <v>3</v>
      </c>
      <c r="G51" s="140" t="s">
        <v>3</v>
      </c>
      <c r="H51" s="140" t="s">
        <v>3</v>
      </c>
      <c r="I51" s="160" t="s">
        <v>3</v>
      </c>
      <c r="J51" s="160" t="s">
        <v>3</v>
      </c>
      <c r="K51" s="143" t="s">
        <v>3</v>
      </c>
      <c r="L51" s="144" t="s">
        <v>3</v>
      </c>
      <c r="M51" s="144">
        <v>4.6740000000000004</v>
      </c>
      <c r="N51" s="144">
        <v>4.6390000000000002</v>
      </c>
      <c r="O51" s="144">
        <v>4.6840000000000002</v>
      </c>
      <c r="P51" s="144">
        <v>4.6070000000000002</v>
      </c>
      <c r="Q51" s="144">
        <v>4.6609999999999996</v>
      </c>
      <c r="R51" s="144">
        <v>4.6829999999999998</v>
      </c>
      <c r="S51" s="144">
        <v>4.6630000000000003</v>
      </c>
      <c r="T51" s="144">
        <v>4.6260000000000003</v>
      </c>
      <c r="U51" s="144">
        <v>4.6340000000000003</v>
      </c>
      <c r="V51" s="144" t="s">
        <v>3</v>
      </c>
      <c r="W51" s="146">
        <v>4.7469999999999999</v>
      </c>
      <c r="X51" s="146">
        <v>4.673</v>
      </c>
      <c r="Y51" s="146" t="s">
        <v>3</v>
      </c>
      <c r="Z51" s="147" t="s">
        <v>3</v>
      </c>
      <c r="AA51" s="148">
        <v>5.0679999999999996</v>
      </c>
      <c r="AB51" s="148" t="s">
        <v>3</v>
      </c>
      <c r="AC51" s="159" t="s">
        <v>3</v>
      </c>
      <c r="AD51" s="149" t="s">
        <v>3</v>
      </c>
      <c r="AE51" s="150">
        <v>4.3109999999999999</v>
      </c>
      <c r="AF51" s="150" t="s">
        <v>3</v>
      </c>
      <c r="AG51" s="150">
        <v>4.2939999999999996</v>
      </c>
      <c r="AH51" s="150" t="s">
        <v>3</v>
      </c>
      <c r="AI51" s="151">
        <v>5.03698333333333</v>
      </c>
      <c r="AJ51" s="151">
        <v>5.0684166666666703</v>
      </c>
      <c r="AK51" s="151">
        <v>5.0370333333333299</v>
      </c>
      <c r="AL51" s="151" t="s">
        <v>3</v>
      </c>
      <c r="AM51" s="151" t="s">
        <v>3</v>
      </c>
      <c r="AN51" s="152" t="s">
        <v>3</v>
      </c>
      <c r="AO51" s="152" t="s">
        <v>3</v>
      </c>
      <c r="AP51" s="152" t="s">
        <v>3</v>
      </c>
      <c r="AQ51" s="152" t="s">
        <v>3</v>
      </c>
      <c r="AR51" s="152" t="s">
        <v>3</v>
      </c>
      <c r="AS51" s="153" t="s">
        <v>3</v>
      </c>
      <c r="AT51" s="153" t="s">
        <v>3</v>
      </c>
      <c r="AU51" s="153" t="s">
        <v>3</v>
      </c>
      <c r="AV51" s="153" t="s">
        <v>3</v>
      </c>
      <c r="AW51" s="154">
        <v>7.51</v>
      </c>
      <c r="AX51" s="154" t="s">
        <v>3</v>
      </c>
      <c r="AY51" s="155">
        <v>7.5</v>
      </c>
      <c r="AZ51" s="155" t="s">
        <v>3</v>
      </c>
      <c r="BA51" s="156" t="s">
        <v>3</v>
      </c>
    </row>
    <row r="52" spans="1:53" x14ac:dyDescent="0.25">
      <c r="A52" s="38">
        <v>49</v>
      </c>
      <c r="B52" s="139" t="s">
        <v>12</v>
      </c>
      <c r="C52" s="38" t="s">
        <v>139</v>
      </c>
      <c r="D52" s="38" t="s">
        <v>183</v>
      </c>
      <c r="E52" s="48">
        <v>581.24846500000001</v>
      </c>
      <c r="F52" s="140" t="s">
        <v>564</v>
      </c>
      <c r="G52" s="140" t="s">
        <v>564</v>
      </c>
      <c r="H52" s="140" t="s">
        <v>564</v>
      </c>
      <c r="I52" s="160" t="s">
        <v>3</v>
      </c>
      <c r="J52" s="160" t="s">
        <v>3</v>
      </c>
      <c r="K52" s="164">
        <v>15.654683333333301</v>
      </c>
      <c r="L52" s="145" t="s">
        <v>3</v>
      </c>
      <c r="M52" s="145">
        <v>4.6870000000000003</v>
      </c>
      <c r="N52" s="145">
        <v>4.6420000000000003</v>
      </c>
      <c r="O52" s="145">
        <v>4.6820000000000004</v>
      </c>
      <c r="P52" s="145">
        <v>4.625</v>
      </c>
      <c r="Q52" s="145">
        <v>4.6280000000000001</v>
      </c>
      <c r="R52" s="145">
        <v>4.59</v>
      </c>
      <c r="S52" s="145">
        <v>4.6349999999999998</v>
      </c>
      <c r="T52" s="145">
        <v>4.63</v>
      </c>
      <c r="U52" s="145">
        <v>4.6749999999999998</v>
      </c>
      <c r="V52" s="145" t="s">
        <v>3</v>
      </c>
      <c r="W52" s="146" t="s">
        <v>564</v>
      </c>
      <c r="X52" s="146" t="s">
        <v>564</v>
      </c>
      <c r="Y52" s="146" t="s">
        <v>564</v>
      </c>
      <c r="Z52" s="158" t="s">
        <v>3</v>
      </c>
      <c r="AA52" s="163">
        <v>5.0940000000000003</v>
      </c>
      <c r="AB52" s="163" t="s">
        <v>3</v>
      </c>
      <c r="AC52" s="159" t="s">
        <v>3</v>
      </c>
      <c r="AD52" s="159" t="s">
        <v>3</v>
      </c>
      <c r="AE52" s="150">
        <v>4.0430000000000001</v>
      </c>
      <c r="AF52" s="150" t="s">
        <v>3</v>
      </c>
      <c r="AG52" s="150">
        <v>4.1929999999999996</v>
      </c>
      <c r="AH52" s="150" t="s">
        <v>3</v>
      </c>
      <c r="AI52" s="151">
        <v>5.0039999999999996</v>
      </c>
      <c r="AJ52" s="151" t="s">
        <v>564</v>
      </c>
      <c r="AK52" s="161">
        <v>4.89448333333333</v>
      </c>
      <c r="AL52" s="161">
        <v>4.9764999999999997</v>
      </c>
      <c r="AM52" s="151" t="s">
        <v>564</v>
      </c>
      <c r="AN52" s="152" t="s">
        <v>564</v>
      </c>
      <c r="AO52" s="152" t="s">
        <v>564</v>
      </c>
      <c r="AP52" s="152" t="s">
        <v>564</v>
      </c>
      <c r="AQ52" s="152" t="s">
        <v>564</v>
      </c>
      <c r="AR52" s="152" t="s">
        <v>564</v>
      </c>
      <c r="AS52" s="153" t="s">
        <v>3</v>
      </c>
      <c r="AT52" s="153" t="s">
        <v>3</v>
      </c>
      <c r="AU52" s="153" t="s">
        <v>3</v>
      </c>
      <c r="AV52" s="153" t="s">
        <v>3</v>
      </c>
      <c r="AW52" s="154" t="s">
        <v>3</v>
      </c>
      <c r="AX52" s="154" t="s">
        <v>3</v>
      </c>
      <c r="AY52" s="155" t="s">
        <v>3</v>
      </c>
      <c r="AZ52" s="155" t="s">
        <v>3</v>
      </c>
      <c r="BA52" s="156" t="s">
        <v>3</v>
      </c>
    </row>
    <row r="53" spans="1:53" x14ac:dyDescent="0.25">
      <c r="A53" s="38">
        <v>50</v>
      </c>
      <c r="B53" s="139" t="s">
        <v>13</v>
      </c>
      <c r="C53" s="38" t="s">
        <v>138</v>
      </c>
      <c r="D53" s="38" t="s">
        <v>184</v>
      </c>
      <c r="E53" s="48">
        <v>644.31578200000001</v>
      </c>
      <c r="F53" s="140" t="s">
        <v>3</v>
      </c>
      <c r="G53" s="140" t="s">
        <v>3</v>
      </c>
      <c r="H53" s="140" t="s">
        <v>3</v>
      </c>
      <c r="I53" s="160" t="s">
        <v>3</v>
      </c>
      <c r="J53" s="160" t="s">
        <v>3</v>
      </c>
      <c r="K53" s="143" t="s">
        <v>3</v>
      </c>
      <c r="L53" s="144" t="s">
        <v>3</v>
      </c>
      <c r="M53" s="144">
        <v>4.7720000000000002</v>
      </c>
      <c r="N53" s="144">
        <v>4.7869999999999999</v>
      </c>
      <c r="O53" s="144">
        <v>4.8310000000000004</v>
      </c>
      <c r="P53" s="144">
        <v>4.8070000000000004</v>
      </c>
      <c r="Q53" s="144">
        <v>4.859</v>
      </c>
      <c r="R53" s="144">
        <v>4.9329999999999998</v>
      </c>
      <c r="S53" s="144">
        <v>4.8109999999999999</v>
      </c>
      <c r="T53" s="144">
        <v>4.8220000000000001</v>
      </c>
      <c r="U53" s="144">
        <v>4.8310000000000004</v>
      </c>
      <c r="V53" s="144" t="s">
        <v>3</v>
      </c>
      <c r="W53" s="146">
        <v>4.9589999999999996</v>
      </c>
      <c r="X53" s="146">
        <v>4.8899999999999997</v>
      </c>
      <c r="Y53" s="146" t="s">
        <v>3</v>
      </c>
      <c r="Z53" s="147" t="s">
        <v>3</v>
      </c>
      <c r="AA53" s="148">
        <v>5.298</v>
      </c>
      <c r="AB53" s="148" t="s">
        <v>3</v>
      </c>
      <c r="AC53" s="159" t="s">
        <v>3</v>
      </c>
      <c r="AD53" s="149" t="s">
        <v>3</v>
      </c>
      <c r="AE53" s="150">
        <v>4.4279999999999999</v>
      </c>
      <c r="AF53" s="150" t="s">
        <v>3</v>
      </c>
      <c r="AG53" s="150">
        <v>4.444</v>
      </c>
      <c r="AH53" s="150" t="s">
        <v>3</v>
      </c>
      <c r="AI53" s="151">
        <v>5.34073333333333</v>
      </c>
      <c r="AJ53" s="151" t="s">
        <v>3</v>
      </c>
      <c r="AK53" s="151">
        <v>5.40363333333333</v>
      </c>
      <c r="AL53" s="151" t="s">
        <v>3</v>
      </c>
      <c r="AM53" s="151" t="s">
        <v>3</v>
      </c>
      <c r="AN53" s="152" t="s">
        <v>3</v>
      </c>
      <c r="AO53" s="152" t="s">
        <v>3</v>
      </c>
      <c r="AP53" s="152" t="s">
        <v>3</v>
      </c>
      <c r="AQ53" s="152" t="s">
        <v>3</v>
      </c>
      <c r="AR53" s="152" t="s">
        <v>3</v>
      </c>
      <c r="AS53" s="153" t="s">
        <v>3</v>
      </c>
      <c r="AT53" s="153" t="s">
        <v>3</v>
      </c>
      <c r="AU53" s="153" t="s">
        <v>3</v>
      </c>
      <c r="AV53" s="153" t="s">
        <v>3</v>
      </c>
      <c r="AW53" s="154">
        <v>7.79</v>
      </c>
      <c r="AX53" s="154" t="s">
        <v>3</v>
      </c>
      <c r="AY53" s="155">
        <v>7.8</v>
      </c>
      <c r="AZ53" s="155" t="s">
        <v>3</v>
      </c>
      <c r="BA53" s="156" t="s">
        <v>3</v>
      </c>
    </row>
    <row r="54" spans="1:53" x14ac:dyDescent="0.25">
      <c r="A54" s="38">
        <v>51</v>
      </c>
      <c r="B54" s="139" t="s">
        <v>13</v>
      </c>
      <c r="C54" s="38" t="s">
        <v>139</v>
      </c>
      <c r="D54" s="38" t="s">
        <v>184</v>
      </c>
      <c r="E54" s="48">
        <v>625.27467999999999</v>
      </c>
      <c r="F54" s="140" t="s">
        <v>564</v>
      </c>
      <c r="G54" s="140" t="s">
        <v>564</v>
      </c>
      <c r="H54" s="140" t="s">
        <v>564</v>
      </c>
      <c r="I54" s="160" t="s">
        <v>3</v>
      </c>
      <c r="J54" s="160" t="s">
        <v>3</v>
      </c>
      <c r="K54" s="164">
        <v>16.111000000000001</v>
      </c>
      <c r="L54" s="145" t="s">
        <v>3</v>
      </c>
      <c r="M54" s="145">
        <v>4.835</v>
      </c>
      <c r="N54" s="145">
        <v>4.84</v>
      </c>
      <c r="O54" s="145">
        <v>4.8289999999999997</v>
      </c>
      <c r="P54" s="145">
        <v>4.8220000000000001</v>
      </c>
      <c r="Q54" s="145">
        <v>4.83</v>
      </c>
      <c r="R54" s="145">
        <v>4.7859999999999996</v>
      </c>
      <c r="S54" s="145">
        <v>4.83</v>
      </c>
      <c r="T54" s="145">
        <v>4.8280000000000003</v>
      </c>
      <c r="U54" s="145">
        <v>4.8250000000000002</v>
      </c>
      <c r="V54" s="145" t="s">
        <v>3</v>
      </c>
      <c r="W54" s="146" t="s">
        <v>564</v>
      </c>
      <c r="X54" s="146" t="s">
        <v>564</v>
      </c>
      <c r="Y54" s="146" t="s">
        <v>564</v>
      </c>
      <c r="Z54" s="158" t="s">
        <v>3</v>
      </c>
      <c r="AA54" s="163">
        <v>5.27</v>
      </c>
      <c r="AB54" s="163" t="s">
        <v>3</v>
      </c>
      <c r="AC54" s="159" t="s">
        <v>3</v>
      </c>
      <c r="AD54" s="159" t="s">
        <v>3</v>
      </c>
      <c r="AE54" s="150">
        <v>4.1929999999999996</v>
      </c>
      <c r="AF54" s="150" t="s">
        <v>3</v>
      </c>
      <c r="AG54" s="150">
        <v>4.3090000000000002</v>
      </c>
      <c r="AH54" s="150" t="s">
        <v>3</v>
      </c>
      <c r="AI54" s="151">
        <v>5.3410000000000002</v>
      </c>
      <c r="AJ54" s="151" t="s">
        <v>564</v>
      </c>
      <c r="AK54" s="161">
        <v>5.22563333333333</v>
      </c>
      <c r="AL54" s="161">
        <v>5.3281499999999999</v>
      </c>
      <c r="AM54" s="151" t="s">
        <v>564</v>
      </c>
      <c r="AN54" s="152" t="s">
        <v>564</v>
      </c>
      <c r="AO54" s="152" t="s">
        <v>564</v>
      </c>
      <c r="AP54" s="152" t="s">
        <v>564</v>
      </c>
      <c r="AQ54" s="152" t="s">
        <v>564</v>
      </c>
      <c r="AR54" s="152" t="s">
        <v>564</v>
      </c>
      <c r="AS54" s="153" t="s">
        <v>3</v>
      </c>
      <c r="AT54" s="153" t="s">
        <v>3</v>
      </c>
      <c r="AU54" s="153" t="s">
        <v>3</v>
      </c>
      <c r="AV54" s="153" t="s">
        <v>3</v>
      </c>
      <c r="AW54" s="154" t="s">
        <v>3</v>
      </c>
      <c r="AX54" s="154" t="s">
        <v>3</v>
      </c>
      <c r="AY54" s="155" t="s">
        <v>3</v>
      </c>
      <c r="AZ54" s="155" t="s">
        <v>3</v>
      </c>
      <c r="BA54" s="156" t="s">
        <v>3</v>
      </c>
    </row>
    <row r="55" spans="1:53" x14ac:dyDescent="0.25">
      <c r="A55" s="38">
        <v>52</v>
      </c>
      <c r="B55" s="139" t="s">
        <v>14</v>
      </c>
      <c r="C55" s="38" t="s">
        <v>138</v>
      </c>
      <c r="D55" s="38" t="s">
        <v>185</v>
      </c>
      <c r="E55" s="48">
        <v>688.34199699999999</v>
      </c>
      <c r="F55" s="140" t="s">
        <v>3</v>
      </c>
      <c r="G55" s="140" t="s">
        <v>3</v>
      </c>
      <c r="H55" s="140" t="s">
        <v>3</v>
      </c>
      <c r="I55" s="160" t="s">
        <v>3</v>
      </c>
      <c r="J55" s="160" t="s">
        <v>3</v>
      </c>
      <c r="K55" s="143" t="s">
        <v>3</v>
      </c>
      <c r="L55" s="144" t="s">
        <v>3</v>
      </c>
      <c r="M55" s="144">
        <v>4.97</v>
      </c>
      <c r="N55" s="144">
        <v>4.9349999999999996</v>
      </c>
      <c r="O55" s="144">
        <v>5.03</v>
      </c>
      <c r="P55" s="144">
        <v>5.0049999999999999</v>
      </c>
      <c r="Q55" s="144">
        <v>4.9569999999999999</v>
      </c>
      <c r="R55" s="144">
        <v>5.0830000000000002</v>
      </c>
      <c r="S55" s="144">
        <v>5.008</v>
      </c>
      <c r="T55" s="144">
        <v>5.0190000000000001</v>
      </c>
      <c r="U55" s="144">
        <v>4.9790000000000001</v>
      </c>
      <c r="V55" s="144" t="s">
        <v>3</v>
      </c>
      <c r="W55" s="157" t="s">
        <v>3</v>
      </c>
      <c r="X55" s="146">
        <v>5.0789999999999997</v>
      </c>
      <c r="Y55" s="146" t="s">
        <v>3</v>
      </c>
      <c r="Z55" s="147" t="s">
        <v>3</v>
      </c>
      <c r="AA55" s="148">
        <v>5.5010000000000003</v>
      </c>
      <c r="AB55" s="148" t="s">
        <v>3</v>
      </c>
      <c r="AC55" s="159" t="s">
        <v>3</v>
      </c>
      <c r="AD55" s="149" t="s">
        <v>3</v>
      </c>
      <c r="AE55" s="150">
        <v>4.5279999999999996</v>
      </c>
      <c r="AF55" s="150" t="s">
        <v>3</v>
      </c>
      <c r="AG55" s="150">
        <v>4.5439999999999996</v>
      </c>
      <c r="AH55" s="150" t="s">
        <v>3</v>
      </c>
      <c r="AI55" s="151">
        <v>5.6928333333333301</v>
      </c>
      <c r="AJ55" s="151" t="s">
        <v>3</v>
      </c>
      <c r="AK55" s="151">
        <v>5.6824166666666702</v>
      </c>
      <c r="AL55" s="151" t="s">
        <v>3</v>
      </c>
      <c r="AM55" s="151" t="s">
        <v>3</v>
      </c>
      <c r="AN55" s="152" t="s">
        <v>3</v>
      </c>
      <c r="AO55" s="152" t="s">
        <v>3</v>
      </c>
      <c r="AP55" s="152" t="s">
        <v>3</v>
      </c>
      <c r="AQ55" s="152" t="s">
        <v>3</v>
      </c>
      <c r="AR55" s="152" t="s">
        <v>3</v>
      </c>
      <c r="AS55" s="153" t="s">
        <v>3</v>
      </c>
      <c r="AT55" s="153" t="s">
        <v>3</v>
      </c>
      <c r="AU55" s="153" t="s">
        <v>3</v>
      </c>
      <c r="AV55" s="153" t="s">
        <v>3</v>
      </c>
      <c r="AW55" s="154" t="s">
        <v>3</v>
      </c>
      <c r="AX55" s="154" t="s">
        <v>3</v>
      </c>
      <c r="AY55" s="155" t="s">
        <v>3</v>
      </c>
      <c r="AZ55" s="155" t="s">
        <v>3</v>
      </c>
      <c r="BA55" s="156" t="s">
        <v>3</v>
      </c>
    </row>
    <row r="56" spans="1:53" x14ac:dyDescent="0.25">
      <c r="A56" s="38">
        <v>53</v>
      </c>
      <c r="B56" s="139" t="s">
        <v>14</v>
      </c>
      <c r="C56" s="38" t="s">
        <v>139</v>
      </c>
      <c r="D56" s="38" t="s">
        <v>185</v>
      </c>
      <c r="E56" s="48">
        <v>669.30089499999997</v>
      </c>
      <c r="F56" s="140" t="s">
        <v>564</v>
      </c>
      <c r="G56" s="140" t="s">
        <v>564</v>
      </c>
      <c r="H56" s="140" t="s">
        <v>564</v>
      </c>
      <c r="I56" s="160" t="s">
        <v>3</v>
      </c>
      <c r="J56" s="160" t="s">
        <v>3</v>
      </c>
      <c r="K56" s="164">
        <v>16.495000000000001</v>
      </c>
      <c r="L56" s="145" t="s">
        <v>3</v>
      </c>
      <c r="M56" s="145">
        <v>4.9829999999999997</v>
      </c>
      <c r="N56" s="145">
        <v>4.9889999999999999</v>
      </c>
      <c r="O56" s="145">
        <v>5.0259999999999998</v>
      </c>
      <c r="P56" s="145">
        <v>4.968</v>
      </c>
      <c r="Q56" s="145">
        <v>5.0270000000000001</v>
      </c>
      <c r="R56" s="145">
        <v>4.9850000000000003</v>
      </c>
      <c r="S56" s="145">
        <v>5.0270000000000001</v>
      </c>
      <c r="T56" s="145">
        <v>5.024</v>
      </c>
      <c r="U56" s="145">
        <v>4.9740000000000002</v>
      </c>
      <c r="V56" s="145" t="s">
        <v>3</v>
      </c>
      <c r="W56" s="146" t="s">
        <v>564</v>
      </c>
      <c r="X56" s="146" t="s">
        <v>564</v>
      </c>
      <c r="Y56" s="146" t="s">
        <v>564</v>
      </c>
      <c r="Z56" s="158" t="s">
        <v>3</v>
      </c>
      <c r="AA56" s="163">
        <v>5.4450000000000003</v>
      </c>
      <c r="AB56" s="163" t="s">
        <v>3</v>
      </c>
      <c r="AC56" s="159" t="s">
        <v>3</v>
      </c>
      <c r="AD56" s="159" t="s">
        <v>3</v>
      </c>
      <c r="AE56" s="150">
        <v>4.2919999999999998</v>
      </c>
      <c r="AF56" s="150" t="s">
        <v>3</v>
      </c>
      <c r="AG56" s="150">
        <v>4.4420000000000002</v>
      </c>
      <c r="AH56" s="150" t="s">
        <v>3</v>
      </c>
      <c r="AI56" s="151">
        <v>5.63</v>
      </c>
      <c r="AJ56" s="151" t="s">
        <v>564</v>
      </c>
      <c r="AK56" s="161">
        <v>5.5358333333333301</v>
      </c>
      <c r="AL56" s="161">
        <v>5.5969499999999996</v>
      </c>
      <c r="AM56" s="151" t="s">
        <v>564</v>
      </c>
      <c r="AN56" s="152" t="s">
        <v>564</v>
      </c>
      <c r="AO56" s="152" t="s">
        <v>564</v>
      </c>
      <c r="AP56" s="152" t="s">
        <v>564</v>
      </c>
      <c r="AQ56" s="152" t="s">
        <v>564</v>
      </c>
      <c r="AR56" s="152" t="s">
        <v>564</v>
      </c>
      <c r="AS56" s="153" t="s">
        <v>3</v>
      </c>
      <c r="AT56" s="153" t="s">
        <v>3</v>
      </c>
      <c r="AU56" s="153" t="s">
        <v>3</v>
      </c>
      <c r="AV56" s="153" t="s">
        <v>3</v>
      </c>
      <c r="AW56" s="154" t="s">
        <v>3</v>
      </c>
      <c r="AX56" s="154" t="s">
        <v>3</v>
      </c>
      <c r="AY56" s="155" t="s">
        <v>3</v>
      </c>
      <c r="AZ56" s="155" t="s">
        <v>3</v>
      </c>
      <c r="BA56" s="156" t="s">
        <v>3</v>
      </c>
    </row>
    <row r="57" spans="1:53" x14ac:dyDescent="0.25">
      <c r="A57" s="38">
        <v>54</v>
      </c>
      <c r="B57" s="139" t="s">
        <v>15</v>
      </c>
      <c r="C57" s="38" t="s">
        <v>138</v>
      </c>
      <c r="D57" s="38" t="s">
        <v>186</v>
      </c>
      <c r="E57" s="48">
        <v>732.36821199999997</v>
      </c>
      <c r="F57" s="140" t="s">
        <v>3</v>
      </c>
      <c r="G57" s="140" t="s">
        <v>3</v>
      </c>
      <c r="H57" s="140" t="s">
        <v>3</v>
      </c>
      <c r="I57" s="160" t="s">
        <v>3</v>
      </c>
      <c r="J57" s="160" t="s">
        <v>3</v>
      </c>
      <c r="K57" s="143" t="s">
        <v>3</v>
      </c>
      <c r="L57" s="144" t="s">
        <v>3</v>
      </c>
      <c r="M57" s="144" t="s">
        <v>3</v>
      </c>
      <c r="N57" s="144">
        <v>5.0839999999999996</v>
      </c>
      <c r="O57" s="144">
        <v>5.1769999999999996</v>
      </c>
      <c r="P57" s="144">
        <v>5.157</v>
      </c>
      <c r="Q57" s="144" t="s">
        <v>3</v>
      </c>
      <c r="R57" s="144">
        <v>5.2309999999999999</v>
      </c>
      <c r="S57" s="144">
        <v>5.1589999999999998</v>
      </c>
      <c r="T57" s="144">
        <v>5.1660000000000004</v>
      </c>
      <c r="U57" s="144">
        <v>5.1289999999999996</v>
      </c>
      <c r="V57" s="144" t="s">
        <v>3</v>
      </c>
      <c r="W57" s="157" t="s">
        <v>3</v>
      </c>
      <c r="X57" s="157" t="s">
        <v>3</v>
      </c>
      <c r="Y57" s="146" t="s">
        <v>3</v>
      </c>
      <c r="Z57" s="147" t="s">
        <v>3</v>
      </c>
      <c r="AA57" s="148">
        <v>5.641</v>
      </c>
      <c r="AB57" s="148" t="s">
        <v>3</v>
      </c>
      <c r="AC57" s="159" t="s">
        <v>3</v>
      </c>
      <c r="AD57" s="149" t="s">
        <v>3</v>
      </c>
      <c r="AE57" s="150">
        <v>4.6779999999999999</v>
      </c>
      <c r="AF57" s="150" t="s">
        <v>3</v>
      </c>
      <c r="AG57" s="150" t="s">
        <v>3</v>
      </c>
      <c r="AH57" s="150" t="s">
        <v>3</v>
      </c>
      <c r="AI57" s="151" t="s">
        <v>3</v>
      </c>
      <c r="AJ57" s="151" t="s">
        <v>3</v>
      </c>
      <c r="AK57" s="151">
        <v>5.9756999999999998</v>
      </c>
      <c r="AL57" s="151" t="s">
        <v>3</v>
      </c>
      <c r="AM57" s="151" t="s">
        <v>3</v>
      </c>
      <c r="AN57" s="152" t="s">
        <v>3</v>
      </c>
      <c r="AO57" s="152" t="s">
        <v>3</v>
      </c>
      <c r="AP57" s="152" t="s">
        <v>3</v>
      </c>
      <c r="AQ57" s="152" t="s">
        <v>3</v>
      </c>
      <c r="AR57" s="152" t="s">
        <v>3</v>
      </c>
      <c r="AS57" s="153" t="s">
        <v>3</v>
      </c>
      <c r="AT57" s="153" t="s">
        <v>3</v>
      </c>
      <c r="AU57" s="153" t="s">
        <v>3</v>
      </c>
      <c r="AV57" s="153" t="s">
        <v>3</v>
      </c>
      <c r="AW57" s="154" t="s">
        <v>3</v>
      </c>
      <c r="AX57" s="154" t="s">
        <v>3</v>
      </c>
      <c r="AY57" s="155" t="s">
        <v>3</v>
      </c>
      <c r="AZ57" s="155" t="s">
        <v>3</v>
      </c>
      <c r="BA57" s="156" t="s">
        <v>3</v>
      </c>
    </row>
    <row r="58" spans="1:53" x14ac:dyDescent="0.25">
      <c r="A58" s="38">
        <v>55</v>
      </c>
      <c r="B58" s="139" t="s">
        <v>15</v>
      </c>
      <c r="C58" s="38" t="s">
        <v>139</v>
      </c>
      <c r="D58" s="38" t="s">
        <v>186</v>
      </c>
      <c r="E58" s="48">
        <v>713.32710999999995</v>
      </c>
      <c r="F58" s="140" t="s">
        <v>564</v>
      </c>
      <c r="G58" s="140" t="s">
        <v>564</v>
      </c>
      <c r="H58" s="140" t="s">
        <v>564</v>
      </c>
      <c r="I58" s="160" t="s">
        <v>3</v>
      </c>
      <c r="J58" s="160" t="s">
        <v>3</v>
      </c>
      <c r="K58" s="143" t="s">
        <v>3</v>
      </c>
      <c r="L58" s="145" t="s">
        <v>3</v>
      </c>
      <c r="M58" s="145">
        <v>5.2279999999999998</v>
      </c>
      <c r="N58" s="145">
        <v>5.1369999999999996</v>
      </c>
      <c r="O58" s="145">
        <v>5.1740000000000004</v>
      </c>
      <c r="P58" s="145">
        <v>5.1630000000000003</v>
      </c>
      <c r="Q58" s="145">
        <v>5.1749999999999998</v>
      </c>
      <c r="R58" s="145">
        <v>5.1319999999999997</v>
      </c>
      <c r="S58" s="145">
        <v>5.173</v>
      </c>
      <c r="T58" s="145">
        <v>5.1710000000000003</v>
      </c>
      <c r="U58" s="145">
        <v>5.17</v>
      </c>
      <c r="V58" s="145" t="s">
        <v>3</v>
      </c>
      <c r="W58" s="146" t="s">
        <v>564</v>
      </c>
      <c r="X58" s="146" t="s">
        <v>564</v>
      </c>
      <c r="Y58" s="146" t="s">
        <v>564</v>
      </c>
      <c r="Z58" s="158" t="s">
        <v>3</v>
      </c>
      <c r="AA58" s="163">
        <v>5.6180000000000003</v>
      </c>
      <c r="AB58" s="163" t="s">
        <v>3</v>
      </c>
      <c r="AC58" s="159" t="s">
        <v>3</v>
      </c>
      <c r="AD58" s="159" t="s">
        <v>3</v>
      </c>
      <c r="AE58" s="150">
        <v>4.4089999999999998</v>
      </c>
      <c r="AF58" s="150" t="s">
        <v>3</v>
      </c>
      <c r="AG58" s="150">
        <v>4.5419999999999998</v>
      </c>
      <c r="AH58" s="150" t="s">
        <v>3</v>
      </c>
      <c r="AI58" s="151" t="s">
        <v>3</v>
      </c>
      <c r="AJ58" s="151" t="s">
        <v>564</v>
      </c>
      <c r="AK58" s="161">
        <v>5.8081833333333304</v>
      </c>
      <c r="AL58" s="161">
        <v>5.8869166666666697</v>
      </c>
      <c r="AM58" s="151" t="s">
        <v>564</v>
      </c>
      <c r="AN58" s="152" t="s">
        <v>564</v>
      </c>
      <c r="AO58" s="152" t="s">
        <v>564</v>
      </c>
      <c r="AP58" s="152" t="s">
        <v>564</v>
      </c>
      <c r="AQ58" s="152" t="s">
        <v>564</v>
      </c>
      <c r="AR58" s="152" t="s">
        <v>564</v>
      </c>
      <c r="AS58" s="153" t="s">
        <v>3</v>
      </c>
      <c r="AT58" s="153" t="s">
        <v>3</v>
      </c>
      <c r="AU58" s="153" t="s">
        <v>3</v>
      </c>
      <c r="AV58" s="153" t="s">
        <v>3</v>
      </c>
      <c r="AW58" s="154" t="s">
        <v>3</v>
      </c>
      <c r="AX58" s="154" t="s">
        <v>3</v>
      </c>
      <c r="AY58" s="155" t="s">
        <v>3</v>
      </c>
      <c r="AZ58" s="155" t="s">
        <v>3</v>
      </c>
      <c r="BA58" s="156" t="s">
        <v>3</v>
      </c>
    </row>
    <row r="59" spans="1:53" x14ac:dyDescent="0.25">
      <c r="A59" s="38">
        <v>56</v>
      </c>
      <c r="B59" s="139" t="s">
        <v>16</v>
      </c>
      <c r="C59" s="38" t="s">
        <v>138</v>
      </c>
      <c r="D59" s="38" t="s">
        <v>187</v>
      </c>
      <c r="E59" s="48">
        <v>776.39442599999995</v>
      </c>
      <c r="F59" s="140" t="s">
        <v>3</v>
      </c>
      <c r="G59" s="140" t="s">
        <v>3</v>
      </c>
      <c r="H59" s="140" t="s">
        <v>3</v>
      </c>
      <c r="I59" s="160" t="s">
        <v>3</v>
      </c>
      <c r="J59" s="160" t="s">
        <v>3</v>
      </c>
      <c r="K59" s="143" t="s">
        <v>3</v>
      </c>
      <c r="L59" s="144" t="s">
        <v>3</v>
      </c>
      <c r="M59" s="144" t="s">
        <v>3</v>
      </c>
      <c r="N59" s="144">
        <v>5.234</v>
      </c>
      <c r="O59" s="144" t="s">
        <v>3</v>
      </c>
      <c r="P59" s="144">
        <v>5.2549999999999999</v>
      </c>
      <c r="Q59" s="144" t="s">
        <v>3</v>
      </c>
      <c r="R59" s="144">
        <v>5.3330000000000002</v>
      </c>
      <c r="S59" s="144">
        <v>5.2610000000000001</v>
      </c>
      <c r="T59" s="144">
        <v>5.2649999999999997</v>
      </c>
      <c r="U59" s="144">
        <v>5.3280000000000003</v>
      </c>
      <c r="V59" s="144" t="s">
        <v>3</v>
      </c>
      <c r="W59" s="157" t="s">
        <v>3</v>
      </c>
      <c r="X59" s="157" t="s">
        <v>3</v>
      </c>
      <c r="Y59" s="146" t="s">
        <v>3</v>
      </c>
      <c r="Z59" s="147" t="s">
        <v>3</v>
      </c>
      <c r="AA59" s="148">
        <v>5.7889999999999997</v>
      </c>
      <c r="AB59" s="148" t="s">
        <v>3</v>
      </c>
      <c r="AC59" s="159" t="s">
        <v>3</v>
      </c>
      <c r="AD59" s="149" t="s">
        <v>3</v>
      </c>
      <c r="AE59" s="150" t="s">
        <v>3</v>
      </c>
      <c r="AF59" s="150" t="s">
        <v>3</v>
      </c>
      <c r="AG59" s="150" t="s">
        <v>3</v>
      </c>
      <c r="AH59" s="150" t="s">
        <v>3</v>
      </c>
      <c r="AI59" s="151" t="s">
        <v>3</v>
      </c>
      <c r="AJ59" s="151" t="s">
        <v>3</v>
      </c>
      <c r="AK59" s="151">
        <v>6.2649499999999998</v>
      </c>
      <c r="AL59" s="151" t="s">
        <v>3</v>
      </c>
      <c r="AM59" s="151" t="s">
        <v>3</v>
      </c>
      <c r="AN59" s="152" t="s">
        <v>3</v>
      </c>
      <c r="AO59" s="152" t="s">
        <v>3</v>
      </c>
      <c r="AP59" s="152" t="s">
        <v>3</v>
      </c>
      <c r="AQ59" s="152" t="s">
        <v>3</v>
      </c>
      <c r="AR59" s="152" t="s">
        <v>3</v>
      </c>
      <c r="AS59" s="153" t="s">
        <v>3</v>
      </c>
      <c r="AT59" s="153" t="s">
        <v>3</v>
      </c>
      <c r="AU59" s="153" t="s">
        <v>3</v>
      </c>
      <c r="AV59" s="153" t="s">
        <v>3</v>
      </c>
      <c r="AW59" s="154" t="s">
        <v>3</v>
      </c>
      <c r="AX59" s="154" t="s">
        <v>3</v>
      </c>
      <c r="AY59" s="155" t="s">
        <v>3</v>
      </c>
      <c r="AZ59" s="155" t="s">
        <v>3</v>
      </c>
      <c r="BA59" s="156" t="s">
        <v>3</v>
      </c>
    </row>
    <row r="60" spans="1:53" x14ac:dyDescent="0.25">
      <c r="A60" s="38">
        <v>57</v>
      </c>
      <c r="B60" s="139" t="s">
        <v>16</v>
      </c>
      <c r="C60" s="38" t="s">
        <v>139</v>
      </c>
      <c r="D60" s="38" t="s">
        <v>187</v>
      </c>
      <c r="E60" s="48">
        <v>757.35332400000004</v>
      </c>
      <c r="F60" s="140" t="s">
        <v>564</v>
      </c>
      <c r="G60" s="140" t="s">
        <v>564</v>
      </c>
      <c r="H60" s="140" t="s">
        <v>564</v>
      </c>
      <c r="I60" s="160" t="s">
        <v>3</v>
      </c>
      <c r="J60" s="160" t="s">
        <v>3</v>
      </c>
      <c r="K60" s="143" t="s">
        <v>3</v>
      </c>
      <c r="L60" s="145" t="s">
        <v>3</v>
      </c>
      <c r="M60" s="145">
        <v>5.3250000000000002</v>
      </c>
      <c r="N60" s="145">
        <v>5.335</v>
      </c>
      <c r="O60" s="145">
        <v>5.3220000000000001</v>
      </c>
      <c r="P60" s="145">
        <v>5.3109999999999999</v>
      </c>
      <c r="Q60" s="145">
        <v>5.3220000000000001</v>
      </c>
      <c r="R60" s="145">
        <v>5.2789999999999999</v>
      </c>
      <c r="S60" s="145">
        <v>5.27</v>
      </c>
      <c r="T60" s="145">
        <v>5.32</v>
      </c>
      <c r="U60" s="145">
        <v>5.3170000000000002</v>
      </c>
      <c r="V60" s="145" t="s">
        <v>3</v>
      </c>
      <c r="W60" s="146" t="s">
        <v>564</v>
      </c>
      <c r="X60" s="146" t="s">
        <v>564</v>
      </c>
      <c r="Y60" s="146" t="s">
        <v>564</v>
      </c>
      <c r="Z60" s="158" t="s">
        <v>3</v>
      </c>
      <c r="AA60" s="163">
        <v>5.7919999999999998</v>
      </c>
      <c r="AB60" s="163" t="s">
        <v>3</v>
      </c>
      <c r="AC60" s="159" t="s">
        <v>3</v>
      </c>
      <c r="AD60" s="159" t="s">
        <v>3</v>
      </c>
      <c r="AE60" s="150">
        <v>4.476</v>
      </c>
      <c r="AF60" s="150" t="s">
        <v>3</v>
      </c>
      <c r="AG60" s="150">
        <v>4.6760000000000002</v>
      </c>
      <c r="AH60" s="150" t="s">
        <v>3</v>
      </c>
      <c r="AI60" s="151" t="s">
        <v>3</v>
      </c>
      <c r="AJ60" s="151" t="s">
        <v>564</v>
      </c>
      <c r="AK60" s="161">
        <v>6.0555500000000002</v>
      </c>
      <c r="AL60" s="161">
        <v>6.1557166666666703</v>
      </c>
      <c r="AM60" s="151" t="s">
        <v>564</v>
      </c>
      <c r="AN60" s="152" t="s">
        <v>564</v>
      </c>
      <c r="AO60" s="152" t="s">
        <v>564</v>
      </c>
      <c r="AP60" s="152" t="s">
        <v>564</v>
      </c>
      <c r="AQ60" s="152" t="s">
        <v>564</v>
      </c>
      <c r="AR60" s="152" t="s">
        <v>564</v>
      </c>
      <c r="AS60" s="153" t="s">
        <v>3</v>
      </c>
      <c r="AT60" s="153" t="s">
        <v>3</v>
      </c>
      <c r="AU60" s="153" t="s">
        <v>3</v>
      </c>
      <c r="AV60" s="153" t="s">
        <v>3</v>
      </c>
      <c r="AW60" s="154" t="s">
        <v>3</v>
      </c>
      <c r="AX60" s="154" t="s">
        <v>3</v>
      </c>
      <c r="AY60" s="155" t="s">
        <v>3</v>
      </c>
      <c r="AZ60" s="155" t="s">
        <v>3</v>
      </c>
      <c r="BA60" s="156" t="s">
        <v>3</v>
      </c>
    </row>
    <row r="61" spans="1:53" x14ac:dyDescent="0.25">
      <c r="A61" s="38">
        <v>58</v>
      </c>
      <c r="B61" s="139" t="s">
        <v>17</v>
      </c>
      <c r="C61" s="38" t="s">
        <v>138</v>
      </c>
      <c r="D61" s="38" t="s">
        <v>188</v>
      </c>
      <c r="E61" s="48">
        <v>820.42064100000005</v>
      </c>
      <c r="F61" s="140" t="s">
        <v>3</v>
      </c>
      <c r="G61" s="140" t="s">
        <v>3</v>
      </c>
      <c r="H61" s="140" t="s">
        <v>3</v>
      </c>
      <c r="I61" s="160" t="s">
        <v>3</v>
      </c>
      <c r="J61" s="160" t="s">
        <v>3</v>
      </c>
      <c r="K61" s="143" t="s">
        <v>3</v>
      </c>
      <c r="L61" s="144" t="s">
        <v>3</v>
      </c>
      <c r="M61" s="144" t="s">
        <v>3</v>
      </c>
      <c r="N61" s="144" t="s">
        <v>3</v>
      </c>
      <c r="O61" s="144" t="s">
        <v>3</v>
      </c>
      <c r="P61" s="144" t="s">
        <v>3</v>
      </c>
      <c r="Q61" s="144" t="s">
        <v>3</v>
      </c>
      <c r="R61" s="144">
        <v>5.5369999999999999</v>
      </c>
      <c r="S61" s="144">
        <v>5.4630000000000001</v>
      </c>
      <c r="T61" s="144">
        <v>5.4189999999999996</v>
      </c>
      <c r="U61" s="144" t="s">
        <v>3</v>
      </c>
      <c r="V61" s="144" t="s">
        <v>3</v>
      </c>
      <c r="W61" s="157" t="s">
        <v>3</v>
      </c>
      <c r="X61" s="157" t="s">
        <v>3</v>
      </c>
      <c r="Y61" s="146" t="s">
        <v>3</v>
      </c>
      <c r="Z61" s="147" t="s">
        <v>3</v>
      </c>
      <c r="AA61" s="148" t="s">
        <v>3</v>
      </c>
      <c r="AB61" s="148" t="s">
        <v>3</v>
      </c>
      <c r="AC61" s="159" t="s">
        <v>3</v>
      </c>
      <c r="AD61" s="149" t="s">
        <v>3</v>
      </c>
      <c r="AE61" s="150" t="s">
        <v>3</v>
      </c>
      <c r="AF61" s="150" t="s">
        <v>3</v>
      </c>
      <c r="AG61" s="150" t="s">
        <v>3</v>
      </c>
      <c r="AH61" s="150" t="s">
        <v>3</v>
      </c>
      <c r="AI61" s="151" t="s">
        <v>3</v>
      </c>
      <c r="AJ61" s="151" t="s">
        <v>3</v>
      </c>
      <c r="AK61" s="151" t="s">
        <v>3</v>
      </c>
      <c r="AL61" s="151" t="s">
        <v>3</v>
      </c>
      <c r="AM61" s="151" t="s">
        <v>3</v>
      </c>
      <c r="AN61" s="152" t="s">
        <v>3</v>
      </c>
      <c r="AO61" s="152" t="s">
        <v>3</v>
      </c>
      <c r="AP61" s="152" t="s">
        <v>3</v>
      </c>
      <c r="AQ61" s="152" t="s">
        <v>3</v>
      </c>
      <c r="AR61" s="152" t="s">
        <v>3</v>
      </c>
      <c r="AS61" s="153" t="s">
        <v>3</v>
      </c>
      <c r="AT61" s="153" t="s">
        <v>3</v>
      </c>
      <c r="AU61" s="153" t="s">
        <v>3</v>
      </c>
      <c r="AV61" s="153" t="s">
        <v>3</v>
      </c>
      <c r="AW61" s="154" t="s">
        <v>3</v>
      </c>
      <c r="AX61" s="154" t="s">
        <v>3</v>
      </c>
      <c r="AY61" s="155" t="s">
        <v>3</v>
      </c>
      <c r="AZ61" s="155" t="s">
        <v>3</v>
      </c>
      <c r="BA61" s="156" t="s">
        <v>3</v>
      </c>
    </row>
    <row r="62" spans="1:53" x14ac:dyDescent="0.25">
      <c r="A62" s="38">
        <v>59</v>
      </c>
      <c r="B62" s="139" t="s">
        <v>17</v>
      </c>
      <c r="C62" s="38" t="s">
        <v>139</v>
      </c>
      <c r="D62" s="38" t="s">
        <v>188</v>
      </c>
      <c r="E62" s="48">
        <v>801.37953900000002</v>
      </c>
      <c r="F62" s="140" t="s">
        <v>564</v>
      </c>
      <c r="G62" s="140" t="s">
        <v>564</v>
      </c>
      <c r="H62" s="140" t="s">
        <v>564</v>
      </c>
      <c r="I62" s="160" t="s">
        <v>3</v>
      </c>
      <c r="J62" s="160" t="s">
        <v>3</v>
      </c>
      <c r="K62" s="143" t="s">
        <v>3</v>
      </c>
      <c r="L62" s="145" t="s">
        <v>3</v>
      </c>
      <c r="M62" s="145">
        <v>5.4720000000000004</v>
      </c>
      <c r="N62" s="145">
        <v>5.4349999999999996</v>
      </c>
      <c r="O62" s="145">
        <v>5.4669999999999996</v>
      </c>
      <c r="P62" s="145">
        <v>5.4119999999999999</v>
      </c>
      <c r="Q62" s="145">
        <v>5.4219999999999997</v>
      </c>
      <c r="R62" s="145">
        <v>5.3780000000000001</v>
      </c>
      <c r="S62" s="145">
        <v>5.4160000000000004</v>
      </c>
      <c r="T62" s="145">
        <v>5.4169999999999998</v>
      </c>
      <c r="U62" s="145">
        <v>5.4160000000000004</v>
      </c>
      <c r="V62" s="145" t="s">
        <v>3</v>
      </c>
      <c r="W62" s="146" t="s">
        <v>564</v>
      </c>
      <c r="X62" s="146" t="s">
        <v>564</v>
      </c>
      <c r="Y62" s="146" t="s">
        <v>564</v>
      </c>
      <c r="Z62" s="158" t="s">
        <v>3</v>
      </c>
      <c r="AA62" s="163">
        <v>5.9029999999999996</v>
      </c>
      <c r="AB62" s="163" t="s">
        <v>3</v>
      </c>
      <c r="AC62" s="159" t="s">
        <v>3</v>
      </c>
      <c r="AD62" s="159" t="s">
        <v>3</v>
      </c>
      <c r="AE62" s="150">
        <v>4.609</v>
      </c>
      <c r="AF62" s="150" t="s">
        <v>3</v>
      </c>
      <c r="AG62" s="150">
        <v>4.7759999999999998</v>
      </c>
      <c r="AH62" s="150" t="s">
        <v>3</v>
      </c>
      <c r="AI62" s="151" t="s">
        <v>3</v>
      </c>
      <c r="AJ62" s="151" t="s">
        <v>564</v>
      </c>
      <c r="AK62" s="161">
        <v>6.27551666666667</v>
      </c>
      <c r="AL62" s="151" t="s">
        <v>3</v>
      </c>
      <c r="AM62" s="151" t="s">
        <v>564</v>
      </c>
      <c r="AN62" s="152" t="s">
        <v>564</v>
      </c>
      <c r="AO62" s="152" t="s">
        <v>564</v>
      </c>
      <c r="AP62" s="152" t="s">
        <v>564</v>
      </c>
      <c r="AQ62" s="152" t="s">
        <v>564</v>
      </c>
      <c r="AR62" s="152" t="s">
        <v>564</v>
      </c>
      <c r="AS62" s="153" t="s">
        <v>3</v>
      </c>
      <c r="AT62" s="153" t="s">
        <v>3</v>
      </c>
      <c r="AU62" s="153" t="s">
        <v>3</v>
      </c>
      <c r="AV62" s="153" t="s">
        <v>3</v>
      </c>
      <c r="AW62" s="154" t="s">
        <v>3</v>
      </c>
      <c r="AX62" s="154" t="s">
        <v>3</v>
      </c>
      <c r="AY62" s="155" t="s">
        <v>3</v>
      </c>
      <c r="AZ62" s="155" t="s">
        <v>3</v>
      </c>
      <c r="BA62" s="156" t="s">
        <v>3</v>
      </c>
    </row>
    <row r="63" spans="1:53" x14ac:dyDescent="0.25">
      <c r="A63" s="38">
        <v>60</v>
      </c>
      <c r="B63" s="139" t="s">
        <v>18</v>
      </c>
      <c r="C63" s="38" t="s">
        <v>139</v>
      </c>
      <c r="D63" s="38" t="s">
        <v>189</v>
      </c>
      <c r="E63" s="48">
        <v>297.15298899999999</v>
      </c>
      <c r="F63" s="140" t="s">
        <v>564</v>
      </c>
      <c r="G63" s="140" t="s">
        <v>564</v>
      </c>
      <c r="H63" s="140" t="s">
        <v>564</v>
      </c>
      <c r="I63" s="142">
        <v>22.345166666666699</v>
      </c>
      <c r="J63" s="160" t="s">
        <v>3</v>
      </c>
      <c r="K63" s="143" t="s">
        <v>3</v>
      </c>
      <c r="L63" s="145">
        <v>18.420000000000002</v>
      </c>
      <c r="M63" s="145">
        <v>18.335100000000001</v>
      </c>
      <c r="N63" s="145">
        <v>18.332999999999998</v>
      </c>
      <c r="O63" s="145">
        <v>18.303000000000001</v>
      </c>
      <c r="P63" s="145">
        <v>18.248999999999999</v>
      </c>
      <c r="Q63" s="145">
        <v>18.169</v>
      </c>
      <c r="R63" s="145">
        <v>18.154</v>
      </c>
      <c r="S63" s="145">
        <v>18.198</v>
      </c>
      <c r="T63" s="145">
        <v>17.643000000000001</v>
      </c>
      <c r="U63" s="145">
        <v>18.274999999999999</v>
      </c>
      <c r="V63" s="145">
        <v>18.28</v>
      </c>
      <c r="W63" s="146" t="s">
        <v>564</v>
      </c>
      <c r="X63" s="146" t="s">
        <v>564</v>
      </c>
      <c r="Y63" s="146" t="s">
        <v>564</v>
      </c>
      <c r="Z63" s="158">
        <v>16.231999999999999</v>
      </c>
      <c r="AA63" s="163">
        <v>16.504000000000001</v>
      </c>
      <c r="AB63" s="163">
        <v>16.768999999999998</v>
      </c>
      <c r="AC63" s="159">
        <v>16.257999999999999</v>
      </c>
      <c r="AD63" s="159">
        <v>16.404</v>
      </c>
      <c r="AE63" s="150">
        <v>11.189</v>
      </c>
      <c r="AF63" s="150">
        <v>11.273</v>
      </c>
      <c r="AG63" s="150">
        <v>11.473000000000001</v>
      </c>
      <c r="AH63" s="150">
        <v>11.523</v>
      </c>
      <c r="AI63" s="151">
        <v>13.65185</v>
      </c>
      <c r="AJ63" s="151" t="s">
        <v>564</v>
      </c>
      <c r="AK63" s="161">
        <v>13.568250000000001</v>
      </c>
      <c r="AL63" s="161">
        <v>13.9638833333333</v>
      </c>
      <c r="AM63" s="151" t="s">
        <v>564</v>
      </c>
      <c r="AN63" s="152" t="s">
        <v>564</v>
      </c>
      <c r="AO63" s="152" t="s">
        <v>564</v>
      </c>
      <c r="AP63" s="152" t="s">
        <v>564</v>
      </c>
      <c r="AQ63" s="152" t="s">
        <v>564</v>
      </c>
      <c r="AR63" s="152" t="s">
        <v>564</v>
      </c>
      <c r="AS63" s="153" t="s">
        <v>3</v>
      </c>
      <c r="AT63" s="153" t="s">
        <v>3</v>
      </c>
      <c r="AU63" s="153" t="s">
        <v>3</v>
      </c>
      <c r="AV63" s="153" t="s">
        <v>3</v>
      </c>
      <c r="AW63" s="154">
        <v>10.078569999999999</v>
      </c>
      <c r="AX63" s="154" t="s">
        <v>3</v>
      </c>
      <c r="AY63" s="155">
        <v>9.6258999999999997</v>
      </c>
      <c r="AZ63" s="155" t="s">
        <v>3</v>
      </c>
      <c r="BA63" s="156">
        <v>7.5413500000000004</v>
      </c>
    </row>
    <row r="64" spans="1:53" x14ac:dyDescent="0.25">
      <c r="A64" s="38">
        <v>61</v>
      </c>
      <c r="B64" s="139" t="s">
        <v>19</v>
      </c>
      <c r="C64" s="38" t="s">
        <v>139</v>
      </c>
      <c r="D64" s="38" t="s">
        <v>190</v>
      </c>
      <c r="E64" s="48">
        <v>311.16863899999998</v>
      </c>
      <c r="F64" s="140" t="s">
        <v>564</v>
      </c>
      <c r="G64" s="140" t="s">
        <v>564</v>
      </c>
      <c r="H64" s="140" t="s">
        <v>564</v>
      </c>
      <c r="I64" s="142">
        <v>23.837333333333302</v>
      </c>
      <c r="J64" s="160" t="s">
        <v>3</v>
      </c>
      <c r="K64" s="143" t="s">
        <v>3</v>
      </c>
      <c r="L64" s="145">
        <v>20.292999999999999</v>
      </c>
      <c r="M64" s="145">
        <v>20.221</v>
      </c>
      <c r="N64" s="145">
        <v>20.167999999999999</v>
      </c>
      <c r="O64" s="145">
        <v>20.209</v>
      </c>
      <c r="P64" s="145">
        <v>20.154</v>
      </c>
      <c r="Q64" s="145">
        <v>20.067</v>
      </c>
      <c r="R64" s="145">
        <v>20.007000000000001</v>
      </c>
      <c r="S64" s="145">
        <v>20.100000000000001</v>
      </c>
      <c r="T64" s="145">
        <v>19.46</v>
      </c>
      <c r="U64" s="145">
        <v>20.172000000000001</v>
      </c>
      <c r="V64" s="145">
        <v>20.167999999999999</v>
      </c>
      <c r="W64" s="146" t="s">
        <v>564</v>
      </c>
      <c r="X64" s="146" t="s">
        <v>564</v>
      </c>
      <c r="Y64" s="146" t="s">
        <v>564</v>
      </c>
      <c r="Z64" s="158">
        <v>17.359000000000002</v>
      </c>
      <c r="AA64" s="163">
        <v>17.763999999999999</v>
      </c>
      <c r="AB64" s="163">
        <v>17.803999999999998</v>
      </c>
      <c r="AC64" s="159">
        <v>17.41</v>
      </c>
      <c r="AD64" s="159">
        <v>17.626000000000001</v>
      </c>
      <c r="AE64" s="150">
        <v>11.723000000000001</v>
      </c>
      <c r="AF64" s="150">
        <v>11.856</v>
      </c>
      <c r="AG64" s="150">
        <v>12</v>
      </c>
      <c r="AH64" s="150">
        <v>12.073</v>
      </c>
      <c r="AI64" s="151">
        <v>14.2029666666667</v>
      </c>
      <c r="AJ64" s="151" t="s">
        <v>564</v>
      </c>
      <c r="AK64" s="161">
        <v>14.067</v>
      </c>
      <c r="AL64" s="161">
        <v>14.350516666666699</v>
      </c>
      <c r="AM64" s="151" t="s">
        <v>564</v>
      </c>
      <c r="AN64" s="152" t="s">
        <v>564</v>
      </c>
      <c r="AO64" s="152" t="s">
        <v>564</v>
      </c>
      <c r="AP64" s="152" t="s">
        <v>564</v>
      </c>
      <c r="AQ64" s="152" t="s">
        <v>564</v>
      </c>
      <c r="AR64" s="152" t="s">
        <v>564</v>
      </c>
      <c r="AS64" s="153" t="s">
        <v>3</v>
      </c>
      <c r="AT64" s="153" t="s">
        <v>3</v>
      </c>
      <c r="AU64" s="153" t="s">
        <v>3</v>
      </c>
      <c r="AV64" s="153" t="s">
        <v>3</v>
      </c>
      <c r="AW64" s="154">
        <v>10.24342</v>
      </c>
      <c r="AX64" s="154">
        <v>10.31</v>
      </c>
      <c r="AY64" s="155">
        <v>9.7808799999999998</v>
      </c>
      <c r="AZ64" s="155">
        <v>10.19483</v>
      </c>
      <c r="BA64" s="156" t="s">
        <v>3</v>
      </c>
    </row>
    <row r="65" spans="1:53" x14ac:dyDescent="0.25">
      <c r="A65" s="38">
        <v>62</v>
      </c>
      <c r="B65" s="139" t="s">
        <v>20</v>
      </c>
      <c r="C65" s="38" t="s">
        <v>139</v>
      </c>
      <c r="D65" s="38" t="s">
        <v>191</v>
      </c>
      <c r="E65" s="48">
        <v>325.18428899999998</v>
      </c>
      <c r="F65" s="140" t="s">
        <v>564</v>
      </c>
      <c r="G65" s="140" t="s">
        <v>564</v>
      </c>
      <c r="H65" s="140" t="s">
        <v>564</v>
      </c>
      <c r="I65" s="142">
        <v>25.695499999999999</v>
      </c>
      <c r="J65" s="160" t="s">
        <v>3</v>
      </c>
      <c r="K65" s="143" t="s">
        <v>3</v>
      </c>
      <c r="L65" s="145">
        <v>22.367000000000001</v>
      </c>
      <c r="M65" s="145">
        <v>22.292999999999999</v>
      </c>
      <c r="N65" s="145">
        <v>22.295999999999999</v>
      </c>
      <c r="O65" s="145">
        <v>22.331</v>
      </c>
      <c r="P65" s="145">
        <v>22.273</v>
      </c>
      <c r="Q65" s="145">
        <v>22.236999999999998</v>
      </c>
      <c r="R65" s="145">
        <v>22.184999999999999</v>
      </c>
      <c r="S65" s="145">
        <v>22.17</v>
      </c>
      <c r="T65" s="145">
        <v>21.884</v>
      </c>
      <c r="U65" s="145">
        <v>22.338000000000001</v>
      </c>
      <c r="V65" s="145">
        <v>22.256</v>
      </c>
      <c r="W65" s="146" t="s">
        <v>564</v>
      </c>
      <c r="X65" s="146" t="s">
        <v>564</v>
      </c>
      <c r="Y65" s="146" t="s">
        <v>564</v>
      </c>
      <c r="Z65" s="158">
        <v>18.358000000000001</v>
      </c>
      <c r="AA65" s="163">
        <v>19.395</v>
      </c>
      <c r="AB65" s="163">
        <v>19.271999999999998</v>
      </c>
      <c r="AC65" s="159">
        <v>18.634</v>
      </c>
      <c r="AD65" s="159">
        <v>18.815000000000001</v>
      </c>
      <c r="AE65" s="150">
        <v>12.305999999999999</v>
      </c>
      <c r="AF65" s="150">
        <v>12.372</v>
      </c>
      <c r="AG65" s="150">
        <v>12.5</v>
      </c>
      <c r="AH65" s="150">
        <v>12.573</v>
      </c>
      <c r="AI65" s="151">
        <v>14.7540833333333</v>
      </c>
      <c r="AJ65" s="151" t="s">
        <v>564</v>
      </c>
      <c r="AK65" s="161">
        <v>14.6285833333333</v>
      </c>
      <c r="AL65" s="161">
        <v>14.9093</v>
      </c>
      <c r="AM65" s="151" t="s">
        <v>564</v>
      </c>
      <c r="AN65" s="152" t="s">
        <v>564</v>
      </c>
      <c r="AO65" s="152" t="s">
        <v>564</v>
      </c>
      <c r="AP65" s="152" t="s">
        <v>564</v>
      </c>
      <c r="AQ65" s="152" t="s">
        <v>564</v>
      </c>
      <c r="AR65" s="152" t="s">
        <v>564</v>
      </c>
      <c r="AS65" s="153" t="s">
        <v>3</v>
      </c>
      <c r="AT65" s="153" t="s">
        <v>3</v>
      </c>
      <c r="AU65" s="153" t="s">
        <v>3</v>
      </c>
      <c r="AV65" s="153" t="s">
        <v>3</v>
      </c>
      <c r="AW65" s="154">
        <v>10.405939999999999</v>
      </c>
      <c r="AX65" s="154">
        <v>10.43</v>
      </c>
      <c r="AY65" s="155" t="s">
        <v>3</v>
      </c>
      <c r="AZ65" s="155" t="s">
        <v>3</v>
      </c>
      <c r="BA65" s="156" t="s">
        <v>3</v>
      </c>
    </row>
    <row r="66" spans="1:53" x14ac:dyDescent="0.25">
      <c r="A66" s="38">
        <v>63</v>
      </c>
      <c r="B66" s="139" t="s">
        <v>21</v>
      </c>
      <c r="C66" s="38" t="s">
        <v>139</v>
      </c>
      <c r="D66" s="38" t="s">
        <v>192</v>
      </c>
      <c r="E66" s="48">
        <v>339.19993899999997</v>
      </c>
      <c r="F66" s="140" t="s">
        <v>564</v>
      </c>
      <c r="G66" s="140" t="s">
        <v>564</v>
      </c>
      <c r="H66" s="140" t="s">
        <v>564</v>
      </c>
      <c r="I66" s="142">
        <v>27.639500000000002</v>
      </c>
      <c r="J66" s="160" t="s">
        <v>3</v>
      </c>
      <c r="K66" s="143" t="s">
        <v>3</v>
      </c>
      <c r="L66" s="145">
        <v>24.734000000000002</v>
      </c>
      <c r="M66" s="145">
        <v>24.722999999999999</v>
      </c>
      <c r="N66" s="145">
        <v>24.684000000000001</v>
      </c>
      <c r="O66" s="145">
        <v>24.76</v>
      </c>
      <c r="P66" s="145">
        <v>24.704999999999998</v>
      </c>
      <c r="Q66" s="145">
        <v>24.71</v>
      </c>
      <c r="R66" s="145">
        <v>24.620999999999999</v>
      </c>
      <c r="S66" s="145">
        <v>24.623000000000001</v>
      </c>
      <c r="T66" s="145">
        <v>24.545000000000002</v>
      </c>
      <c r="U66" s="145">
        <v>24.719000000000001</v>
      </c>
      <c r="V66" s="145">
        <v>24.757999999999999</v>
      </c>
      <c r="W66" s="146" t="s">
        <v>564</v>
      </c>
      <c r="X66" s="146" t="s">
        <v>564</v>
      </c>
      <c r="Y66" s="146" t="s">
        <v>564</v>
      </c>
      <c r="Z66" s="158">
        <v>19.507999999999999</v>
      </c>
      <c r="AA66" s="163">
        <v>20.135999999999999</v>
      </c>
      <c r="AB66" s="163">
        <v>20.22</v>
      </c>
      <c r="AC66" s="159">
        <v>19.818999999999999</v>
      </c>
      <c r="AD66" s="159">
        <v>19.998000000000001</v>
      </c>
      <c r="AE66" s="150">
        <v>12.821999999999999</v>
      </c>
      <c r="AF66" s="150">
        <v>12.856</v>
      </c>
      <c r="AG66" s="150">
        <v>12.972</v>
      </c>
      <c r="AH66" s="150">
        <v>13.039</v>
      </c>
      <c r="AI66" s="151">
        <v>15.25285</v>
      </c>
      <c r="AJ66" s="151" t="s">
        <v>564</v>
      </c>
      <c r="AK66" s="161">
        <v>15.15875</v>
      </c>
      <c r="AL66" s="161">
        <v>15.460699999999999</v>
      </c>
      <c r="AM66" s="151" t="s">
        <v>564</v>
      </c>
      <c r="AN66" s="152" t="s">
        <v>564</v>
      </c>
      <c r="AO66" s="152" t="s">
        <v>564</v>
      </c>
      <c r="AP66" s="152" t="s">
        <v>564</v>
      </c>
      <c r="AQ66" s="152" t="s">
        <v>564</v>
      </c>
      <c r="AR66" s="152" t="s">
        <v>564</v>
      </c>
      <c r="AS66" s="153" t="s">
        <v>3</v>
      </c>
      <c r="AT66" s="153" t="s">
        <v>3</v>
      </c>
      <c r="AU66" s="153" t="s">
        <v>3</v>
      </c>
      <c r="AV66" s="153" t="s">
        <v>3</v>
      </c>
      <c r="AW66" s="154">
        <v>10.537991999999999</v>
      </c>
      <c r="AX66" s="154">
        <v>10.57</v>
      </c>
      <c r="AY66" s="155">
        <v>10.313789999999999</v>
      </c>
      <c r="AZ66" s="155">
        <v>10.556558000000001</v>
      </c>
      <c r="BA66" s="156" t="s">
        <v>3</v>
      </c>
    </row>
    <row r="67" spans="1:53" x14ac:dyDescent="0.25">
      <c r="A67" s="38">
        <v>64</v>
      </c>
      <c r="B67" s="139" t="s">
        <v>22</v>
      </c>
      <c r="C67" s="38" t="s">
        <v>139</v>
      </c>
      <c r="D67" s="38" t="s">
        <v>193</v>
      </c>
      <c r="E67" s="48">
        <v>353.21558900000002</v>
      </c>
      <c r="F67" s="140" t="s">
        <v>564</v>
      </c>
      <c r="G67" s="140" t="s">
        <v>564</v>
      </c>
      <c r="H67" s="140" t="s">
        <v>564</v>
      </c>
      <c r="I67" s="160" t="s">
        <v>3</v>
      </c>
      <c r="J67" s="160" t="s">
        <v>3</v>
      </c>
      <c r="K67" s="143" t="s">
        <v>3</v>
      </c>
      <c r="L67" s="145" t="s">
        <v>3</v>
      </c>
      <c r="M67" s="145" t="s">
        <v>3</v>
      </c>
      <c r="N67" s="145" t="s">
        <v>3</v>
      </c>
      <c r="O67" s="145" t="s">
        <v>3</v>
      </c>
      <c r="P67" s="145" t="s">
        <v>3</v>
      </c>
      <c r="Q67" s="145" t="s">
        <v>3</v>
      </c>
      <c r="R67" s="145" t="s">
        <v>3</v>
      </c>
      <c r="S67" s="145" t="s">
        <v>3</v>
      </c>
      <c r="T67" s="145" t="s">
        <v>3</v>
      </c>
      <c r="U67" s="145" t="s">
        <v>3</v>
      </c>
      <c r="V67" s="145" t="s">
        <v>3</v>
      </c>
      <c r="W67" s="146" t="s">
        <v>564</v>
      </c>
      <c r="X67" s="146" t="s">
        <v>564</v>
      </c>
      <c r="Y67" s="146" t="s">
        <v>564</v>
      </c>
      <c r="Z67" s="158" t="s">
        <v>3</v>
      </c>
      <c r="AA67" s="163" t="s">
        <v>3</v>
      </c>
      <c r="AB67" s="163" t="s">
        <v>3</v>
      </c>
      <c r="AC67" s="159">
        <v>21.222000000000001</v>
      </c>
      <c r="AD67" s="159" t="s">
        <v>3</v>
      </c>
      <c r="AE67" s="150">
        <v>13.238</v>
      </c>
      <c r="AF67" s="150">
        <v>13.239000000000001</v>
      </c>
      <c r="AG67" s="150">
        <v>13.438000000000001</v>
      </c>
      <c r="AH67" s="150" t="s">
        <v>3</v>
      </c>
      <c r="AI67" s="151" t="s">
        <v>3</v>
      </c>
      <c r="AJ67" s="151" t="s">
        <v>564</v>
      </c>
      <c r="AK67" s="151" t="s">
        <v>3</v>
      </c>
      <c r="AL67" s="151" t="s">
        <v>3</v>
      </c>
      <c r="AM67" s="151" t="s">
        <v>564</v>
      </c>
      <c r="AN67" s="152" t="s">
        <v>564</v>
      </c>
      <c r="AO67" s="152" t="s">
        <v>564</v>
      </c>
      <c r="AP67" s="152" t="s">
        <v>564</v>
      </c>
      <c r="AQ67" s="152" t="s">
        <v>564</v>
      </c>
      <c r="AR67" s="152" t="s">
        <v>564</v>
      </c>
      <c r="AS67" s="153" t="s">
        <v>3</v>
      </c>
      <c r="AT67" s="153" t="s">
        <v>3</v>
      </c>
      <c r="AU67" s="153" t="s">
        <v>3</v>
      </c>
      <c r="AV67" s="153" t="s">
        <v>3</v>
      </c>
      <c r="AW67" s="154" t="s">
        <v>3</v>
      </c>
      <c r="AX67" s="154" t="s">
        <v>3</v>
      </c>
      <c r="AY67" s="155" t="s">
        <v>3</v>
      </c>
      <c r="AZ67" s="155" t="s">
        <v>3</v>
      </c>
      <c r="BA67" s="156" t="s">
        <v>3</v>
      </c>
    </row>
    <row r="68" spans="1:53" x14ac:dyDescent="0.25">
      <c r="A68" s="38">
        <v>65</v>
      </c>
      <c r="B68" s="139" t="s">
        <v>0</v>
      </c>
      <c r="C68" s="38" t="s">
        <v>139</v>
      </c>
      <c r="D68" s="38" t="s">
        <v>194</v>
      </c>
      <c r="E68" s="48">
        <v>299.095868</v>
      </c>
      <c r="F68" s="140" t="s">
        <v>564</v>
      </c>
      <c r="G68" s="140" t="s">
        <v>564</v>
      </c>
      <c r="H68" s="140" t="s">
        <v>564</v>
      </c>
      <c r="I68" s="160" t="s">
        <v>3</v>
      </c>
      <c r="J68" s="160" t="s">
        <v>3</v>
      </c>
      <c r="K68" s="143" t="s">
        <v>3</v>
      </c>
      <c r="L68" s="145" t="s">
        <v>3</v>
      </c>
      <c r="M68" s="145">
        <v>8.1159999999999997</v>
      </c>
      <c r="N68" s="145">
        <v>8.1280000000000001</v>
      </c>
      <c r="O68" s="145">
        <v>8.11</v>
      </c>
      <c r="P68" s="145">
        <v>8.0950000000000006</v>
      </c>
      <c r="Q68" s="145">
        <v>8.0739999999999998</v>
      </c>
      <c r="R68" s="145">
        <v>8.0709999999999997</v>
      </c>
      <c r="S68" s="145">
        <v>8.11</v>
      </c>
      <c r="T68" s="145">
        <v>8.0589999999999993</v>
      </c>
      <c r="U68" s="145">
        <v>8.0079999999999991</v>
      </c>
      <c r="V68" s="145">
        <v>8.1259999999999994</v>
      </c>
      <c r="W68" s="146" t="s">
        <v>564</v>
      </c>
      <c r="X68" s="146" t="s">
        <v>564</v>
      </c>
      <c r="Y68" s="146" t="s">
        <v>564</v>
      </c>
      <c r="Z68" s="158">
        <v>8.0640000000000001</v>
      </c>
      <c r="AA68" s="163">
        <v>7.8070000000000004</v>
      </c>
      <c r="AB68" s="163">
        <v>7.86</v>
      </c>
      <c r="AC68" s="159">
        <v>7.9829999999999997</v>
      </c>
      <c r="AD68" s="159" t="s">
        <v>3</v>
      </c>
      <c r="AE68" s="150">
        <v>4.8419999999999996</v>
      </c>
      <c r="AF68" s="150">
        <v>4.6760000000000002</v>
      </c>
      <c r="AG68" s="150" t="s">
        <v>3</v>
      </c>
      <c r="AH68" s="150" t="s">
        <v>3</v>
      </c>
      <c r="AI68" s="151">
        <v>8.8740000000000006</v>
      </c>
      <c r="AJ68" s="151" t="s">
        <v>564</v>
      </c>
      <c r="AK68" s="161">
        <v>8.56</v>
      </c>
      <c r="AL68" s="151">
        <v>8.8810000000000002</v>
      </c>
      <c r="AM68" s="151" t="s">
        <v>564</v>
      </c>
      <c r="AN68" s="152" t="s">
        <v>564</v>
      </c>
      <c r="AO68" s="152" t="s">
        <v>564</v>
      </c>
      <c r="AP68" s="152" t="s">
        <v>564</v>
      </c>
      <c r="AQ68" s="152" t="s">
        <v>564</v>
      </c>
      <c r="AR68" s="152" t="s">
        <v>564</v>
      </c>
      <c r="AS68" s="153" t="s">
        <v>3</v>
      </c>
      <c r="AT68" s="153" t="s">
        <v>3</v>
      </c>
      <c r="AU68" s="153" t="s">
        <v>3</v>
      </c>
      <c r="AV68" s="153" t="s">
        <v>3</v>
      </c>
      <c r="AW68" s="154">
        <v>8.2762399999999996</v>
      </c>
      <c r="AX68" s="154">
        <v>8.19</v>
      </c>
      <c r="AY68" s="155" t="s">
        <v>3</v>
      </c>
      <c r="AZ68" s="155">
        <v>8.1550790000000006</v>
      </c>
      <c r="BA68" s="156">
        <v>5.27841</v>
      </c>
    </row>
    <row r="69" spans="1:53" x14ac:dyDescent="0.25">
      <c r="A69" s="38">
        <v>66</v>
      </c>
      <c r="B69" s="139" t="s">
        <v>87</v>
      </c>
      <c r="C69" s="38" t="s">
        <v>138</v>
      </c>
      <c r="D69" s="38" t="s">
        <v>195</v>
      </c>
      <c r="E69" s="48">
        <v>96.044390000000007</v>
      </c>
      <c r="F69" s="140" t="s">
        <v>3</v>
      </c>
      <c r="G69" s="140" t="s">
        <v>3</v>
      </c>
      <c r="H69" s="140" t="s">
        <v>3</v>
      </c>
      <c r="I69" s="160" t="s">
        <v>3</v>
      </c>
      <c r="J69" s="160" t="s">
        <v>3</v>
      </c>
      <c r="K69" s="143" t="s">
        <v>3</v>
      </c>
      <c r="L69" s="144" t="s">
        <v>3</v>
      </c>
      <c r="M69" s="144" t="s">
        <v>3</v>
      </c>
      <c r="N69" s="144" t="s">
        <v>3</v>
      </c>
      <c r="O69" s="144" t="s">
        <v>3</v>
      </c>
      <c r="P69" s="144" t="s">
        <v>3</v>
      </c>
      <c r="Q69" s="144" t="s">
        <v>3</v>
      </c>
      <c r="R69" s="144" t="s">
        <v>3</v>
      </c>
      <c r="S69" s="144" t="s">
        <v>3</v>
      </c>
      <c r="T69" s="144" t="s">
        <v>3</v>
      </c>
      <c r="U69" s="144" t="s">
        <v>3</v>
      </c>
      <c r="V69" s="144" t="s">
        <v>3</v>
      </c>
      <c r="W69" s="146" t="s">
        <v>3</v>
      </c>
      <c r="X69" s="146" t="s">
        <v>3</v>
      </c>
      <c r="Y69" s="146" t="s">
        <v>3</v>
      </c>
      <c r="Z69" s="147" t="s">
        <v>3</v>
      </c>
      <c r="AA69" s="148" t="s">
        <v>3</v>
      </c>
      <c r="AB69" s="148" t="s">
        <v>3</v>
      </c>
      <c r="AC69" s="149" t="s">
        <v>3</v>
      </c>
      <c r="AD69" s="149" t="s">
        <v>3</v>
      </c>
      <c r="AE69" s="150">
        <v>2.161</v>
      </c>
      <c r="AF69" s="150">
        <v>2.2080000000000002</v>
      </c>
      <c r="AG69" s="150" t="s">
        <v>3</v>
      </c>
      <c r="AH69" s="150" t="s">
        <v>3</v>
      </c>
      <c r="AI69" s="151" t="s">
        <v>3</v>
      </c>
      <c r="AJ69" s="151" t="s">
        <v>3</v>
      </c>
      <c r="AK69" s="151" t="s">
        <v>3</v>
      </c>
      <c r="AL69" s="151" t="s">
        <v>3</v>
      </c>
      <c r="AM69" s="151" t="s">
        <v>3</v>
      </c>
      <c r="AN69" s="152" t="s">
        <v>3</v>
      </c>
      <c r="AO69" s="152" t="s">
        <v>3</v>
      </c>
      <c r="AP69" s="152" t="s">
        <v>3</v>
      </c>
      <c r="AQ69" s="152" t="s">
        <v>3</v>
      </c>
      <c r="AR69" s="152" t="s">
        <v>3</v>
      </c>
      <c r="AS69" s="153" t="s">
        <v>3</v>
      </c>
      <c r="AT69" s="153" t="s">
        <v>3</v>
      </c>
      <c r="AU69" s="153" t="s">
        <v>3</v>
      </c>
      <c r="AV69" s="153" t="s">
        <v>3</v>
      </c>
      <c r="AW69" s="154" t="s">
        <v>3</v>
      </c>
      <c r="AX69" s="154" t="s">
        <v>3</v>
      </c>
      <c r="AY69" s="155" t="s">
        <v>3</v>
      </c>
      <c r="AZ69" s="155" t="s">
        <v>3</v>
      </c>
      <c r="BA69" s="156" t="s">
        <v>3</v>
      </c>
    </row>
    <row r="70" spans="1:53" x14ac:dyDescent="0.25">
      <c r="A70" s="38">
        <v>67</v>
      </c>
      <c r="B70" s="139" t="s">
        <v>105</v>
      </c>
      <c r="C70" s="38" t="s">
        <v>138</v>
      </c>
      <c r="D70" s="38" t="s">
        <v>196</v>
      </c>
      <c r="E70" s="48">
        <v>100.07568999999999</v>
      </c>
      <c r="F70" s="140" t="s">
        <v>3</v>
      </c>
      <c r="G70" s="140" t="s">
        <v>3</v>
      </c>
      <c r="H70" s="140" t="s">
        <v>3</v>
      </c>
      <c r="I70" s="160" t="s">
        <v>3</v>
      </c>
      <c r="J70" s="160" t="s">
        <v>3</v>
      </c>
      <c r="K70" s="143" t="s">
        <v>3</v>
      </c>
      <c r="L70" s="144" t="s">
        <v>3</v>
      </c>
      <c r="M70" s="144" t="s">
        <v>3</v>
      </c>
      <c r="N70" s="144" t="s">
        <v>3</v>
      </c>
      <c r="O70" s="144" t="s">
        <v>3</v>
      </c>
      <c r="P70" s="144" t="s">
        <v>3</v>
      </c>
      <c r="Q70" s="144" t="s">
        <v>3</v>
      </c>
      <c r="R70" s="144" t="s">
        <v>3</v>
      </c>
      <c r="S70" s="144" t="s">
        <v>3</v>
      </c>
      <c r="T70" s="144" t="s">
        <v>3</v>
      </c>
      <c r="U70" s="144" t="s">
        <v>3</v>
      </c>
      <c r="V70" s="144" t="s">
        <v>3</v>
      </c>
      <c r="W70" s="146">
        <v>1.8089999999999999</v>
      </c>
      <c r="X70" s="146">
        <v>1.8460000000000001</v>
      </c>
      <c r="Y70" s="146" t="s">
        <v>3</v>
      </c>
      <c r="Z70" s="147" t="s">
        <v>3</v>
      </c>
      <c r="AA70" s="148">
        <v>1.925</v>
      </c>
      <c r="AB70" s="148" t="s">
        <v>3</v>
      </c>
      <c r="AC70" s="149">
        <v>1.8320000000000001</v>
      </c>
      <c r="AD70" s="149" t="s">
        <v>3</v>
      </c>
      <c r="AE70" s="150">
        <v>3.0939999999999999</v>
      </c>
      <c r="AF70" s="150">
        <v>3.0920000000000001</v>
      </c>
      <c r="AG70" s="150">
        <v>3.0609999999999999</v>
      </c>
      <c r="AH70" s="150">
        <v>3.1110000000000002</v>
      </c>
      <c r="AI70" s="151" t="s">
        <v>3</v>
      </c>
      <c r="AJ70" s="151" t="s">
        <v>3</v>
      </c>
      <c r="AK70" s="151" t="s">
        <v>3</v>
      </c>
      <c r="AL70" s="151" t="s">
        <v>3</v>
      </c>
      <c r="AM70" s="151" t="s">
        <v>3</v>
      </c>
      <c r="AN70" s="152" t="s">
        <v>3</v>
      </c>
      <c r="AO70" s="152" t="s">
        <v>3</v>
      </c>
      <c r="AP70" s="152" t="s">
        <v>3</v>
      </c>
      <c r="AQ70" s="152" t="s">
        <v>3</v>
      </c>
      <c r="AR70" s="152" t="s">
        <v>3</v>
      </c>
      <c r="AS70" s="153" t="s">
        <v>3</v>
      </c>
      <c r="AT70" s="153" t="s">
        <v>3</v>
      </c>
      <c r="AU70" s="153" t="s">
        <v>3</v>
      </c>
      <c r="AV70" s="153" t="s">
        <v>3</v>
      </c>
      <c r="AW70" s="154">
        <v>2.68</v>
      </c>
      <c r="AX70" s="154" t="s">
        <v>3</v>
      </c>
      <c r="AY70" s="155">
        <v>2.3557999999999999</v>
      </c>
      <c r="AZ70" s="155" t="s">
        <v>3</v>
      </c>
      <c r="BA70" s="156">
        <v>2.04</v>
      </c>
    </row>
    <row r="71" spans="1:53" x14ac:dyDescent="0.25">
      <c r="A71" s="38">
        <v>68</v>
      </c>
      <c r="B71" s="139" t="s">
        <v>116</v>
      </c>
      <c r="C71" s="38" t="s">
        <v>138</v>
      </c>
      <c r="D71" s="38" t="s">
        <v>197</v>
      </c>
      <c r="E71" s="48">
        <v>237.102239</v>
      </c>
      <c r="F71" s="141">
        <f>591.034/60</f>
        <v>9.8505666666666674</v>
      </c>
      <c r="G71" s="141">
        <v>9.8443166666666695</v>
      </c>
      <c r="H71" s="140">
        <v>9.8209999999999997</v>
      </c>
      <c r="I71" s="160" t="s">
        <v>3</v>
      </c>
      <c r="J71" s="142">
        <v>14.74</v>
      </c>
      <c r="K71" s="164">
        <v>27.971</v>
      </c>
      <c r="L71" s="145" t="s">
        <v>3</v>
      </c>
      <c r="M71" s="145">
        <v>7.7069999999999999</v>
      </c>
      <c r="N71" s="145">
        <v>7.6890000000000001</v>
      </c>
      <c r="O71" s="145">
        <v>7.7240000000000002</v>
      </c>
      <c r="P71" s="145">
        <v>7.702</v>
      </c>
      <c r="Q71" s="145">
        <v>7.718</v>
      </c>
      <c r="R71" s="145">
        <v>7.819</v>
      </c>
      <c r="S71" s="145">
        <v>7.7160000000000002</v>
      </c>
      <c r="T71" s="145">
        <v>7.7480000000000002</v>
      </c>
      <c r="U71" s="145">
        <v>7.7279999999999998</v>
      </c>
      <c r="V71" s="145">
        <v>7.7279999999999998</v>
      </c>
      <c r="W71" s="157">
        <v>7.7169999999999996</v>
      </c>
      <c r="X71" s="157">
        <v>7.6609999999999996</v>
      </c>
      <c r="Y71" s="157">
        <v>7.6280000000000001</v>
      </c>
      <c r="Z71" s="158">
        <v>7.95</v>
      </c>
      <c r="AA71" s="163">
        <v>8.0180000000000007</v>
      </c>
      <c r="AB71" s="163" t="s">
        <v>3</v>
      </c>
      <c r="AC71" s="159">
        <v>7.665</v>
      </c>
      <c r="AD71" s="159" t="s">
        <v>3</v>
      </c>
      <c r="AE71" s="150">
        <v>7.444</v>
      </c>
      <c r="AF71" s="150">
        <v>7.4580000000000002</v>
      </c>
      <c r="AG71" s="150">
        <v>7.3769999999999998</v>
      </c>
      <c r="AH71" s="150">
        <v>7.444</v>
      </c>
      <c r="AI71" s="151">
        <v>8.8528833333333292</v>
      </c>
      <c r="AJ71" s="161">
        <v>8.8005666666666702</v>
      </c>
      <c r="AK71" s="151">
        <v>8.8529666666666706</v>
      </c>
      <c r="AL71" s="161">
        <v>8.7977666666666696</v>
      </c>
      <c r="AM71" s="161" t="s">
        <v>3</v>
      </c>
      <c r="AN71" s="162">
        <v>7.28446388244629</v>
      </c>
      <c r="AO71" s="162">
        <v>7.0381627082824698</v>
      </c>
      <c r="AP71" s="162">
        <v>7.0376515388488796</v>
      </c>
      <c r="AQ71" s="162">
        <v>7.0363330841064498</v>
      </c>
      <c r="AR71" s="162">
        <v>7.03426265716553</v>
      </c>
      <c r="AS71" s="153">
        <v>21.117999999999999</v>
      </c>
      <c r="AT71" s="153">
        <v>20.158000000000001</v>
      </c>
      <c r="AU71" s="153">
        <v>21.021999999999998</v>
      </c>
      <c r="AV71" s="153">
        <v>21.448</v>
      </c>
      <c r="AW71" s="154" t="s">
        <v>3</v>
      </c>
      <c r="AX71" s="154" t="s">
        <v>3</v>
      </c>
      <c r="AY71" s="155">
        <v>9.0702700000000007</v>
      </c>
      <c r="AZ71" s="155">
        <v>9.0674600000000005</v>
      </c>
      <c r="BA71" s="156">
        <v>6.67</v>
      </c>
    </row>
    <row r="72" spans="1:53" x14ac:dyDescent="0.25">
      <c r="A72" s="38">
        <v>69</v>
      </c>
      <c r="B72" s="139" t="s">
        <v>88</v>
      </c>
      <c r="C72" s="38" t="s">
        <v>138</v>
      </c>
      <c r="D72" s="38" t="s">
        <v>198</v>
      </c>
      <c r="E72" s="48">
        <v>255.11280400000001</v>
      </c>
      <c r="F72" s="140" t="s">
        <v>3</v>
      </c>
      <c r="G72" s="140" t="s">
        <v>3</v>
      </c>
      <c r="H72" s="140" t="s">
        <v>3</v>
      </c>
      <c r="I72" s="160" t="s">
        <v>3</v>
      </c>
      <c r="J72" s="160" t="s">
        <v>3</v>
      </c>
      <c r="K72" s="164">
        <v>23.817166666666701</v>
      </c>
      <c r="L72" s="145" t="s">
        <v>3</v>
      </c>
      <c r="M72" s="145">
        <v>6.1079999999999997</v>
      </c>
      <c r="N72" s="145">
        <v>6.13</v>
      </c>
      <c r="O72" s="145">
        <v>6.1740000000000004</v>
      </c>
      <c r="P72" s="145">
        <v>6.1539999999999999</v>
      </c>
      <c r="Q72" s="145">
        <v>6.1509999999999998</v>
      </c>
      <c r="R72" s="145">
        <v>6.2430000000000003</v>
      </c>
      <c r="S72" s="145">
        <v>6.1159999999999997</v>
      </c>
      <c r="T72" s="145" t="s">
        <v>3</v>
      </c>
      <c r="U72" s="145">
        <v>6.1740000000000004</v>
      </c>
      <c r="V72" s="145">
        <v>6.1790000000000003</v>
      </c>
      <c r="W72" s="157">
        <v>6.2249999999999996</v>
      </c>
      <c r="X72" s="157">
        <v>6.1340000000000003</v>
      </c>
      <c r="Y72" s="157" t="s">
        <v>3</v>
      </c>
      <c r="Z72" s="158" t="s">
        <v>3</v>
      </c>
      <c r="AA72" s="163">
        <v>6.5510000000000002</v>
      </c>
      <c r="AB72" s="163" t="s">
        <v>3</v>
      </c>
      <c r="AC72" s="159">
        <v>6.625</v>
      </c>
      <c r="AD72" s="159" t="s">
        <v>3</v>
      </c>
      <c r="AE72" s="150">
        <v>5.9779999999999998</v>
      </c>
      <c r="AF72" s="150">
        <v>5.992</v>
      </c>
      <c r="AG72" s="150" t="s">
        <v>3</v>
      </c>
      <c r="AH72" s="150" t="s">
        <v>3</v>
      </c>
      <c r="AI72" s="151">
        <v>7.0843166666666697</v>
      </c>
      <c r="AJ72" s="161">
        <v>7.0319833333333301</v>
      </c>
      <c r="AK72" s="151">
        <v>7.0843666666666696</v>
      </c>
      <c r="AL72" s="161">
        <v>7.0385833333333299</v>
      </c>
      <c r="AM72" s="161" t="s">
        <v>3</v>
      </c>
      <c r="AN72" s="162">
        <v>5.8194775581359899</v>
      </c>
      <c r="AO72" s="152" t="s">
        <v>3</v>
      </c>
      <c r="AP72" s="152" t="s">
        <v>3</v>
      </c>
      <c r="AQ72" s="152" t="s">
        <v>3</v>
      </c>
      <c r="AR72" s="152" t="s">
        <v>3</v>
      </c>
      <c r="AS72" s="153" t="s">
        <v>3</v>
      </c>
      <c r="AT72" s="153">
        <v>10.628</v>
      </c>
      <c r="AU72" s="153" t="s">
        <v>3</v>
      </c>
      <c r="AV72" s="153" t="s">
        <v>3</v>
      </c>
      <c r="AW72" s="154" t="s">
        <v>3</v>
      </c>
      <c r="AX72" s="154" t="s">
        <v>3</v>
      </c>
      <c r="AY72" s="155" t="s">
        <v>3</v>
      </c>
      <c r="AZ72" s="155" t="s">
        <v>3</v>
      </c>
      <c r="BA72" s="156" t="s">
        <v>3</v>
      </c>
    </row>
    <row r="73" spans="1:53" ht="14.25" customHeight="1" x14ac:dyDescent="0.25">
      <c r="A73" s="38">
        <v>70</v>
      </c>
      <c r="B73" s="139" t="s">
        <v>89</v>
      </c>
      <c r="C73" s="38" t="s">
        <v>138</v>
      </c>
      <c r="D73" s="38" t="s">
        <v>199</v>
      </c>
      <c r="E73" s="48">
        <v>415.16860500000001</v>
      </c>
      <c r="F73" s="140" t="s">
        <v>3</v>
      </c>
      <c r="G73" s="140" t="s">
        <v>3</v>
      </c>
      <c r="H73" s="140" t="s">
        <v>3</v>
      </c>
      <c r="I73" s="160" t="s">
        <v>3</v>
      </c>
      <c r="J73" s="160" t="s">
        <v>3</v>
      </c>
      <c r="K73" s="143" t="s">
        <v>3</v>
      </c>
      <c r="L73" s="145" t="s">
        <v>3</v>
      </c>
      <c r="M73" s="145">
        <v>7.008</v>
      </c>
      <c r="N73" s="145">
        <v>7.0880000000000001</v>
      </c>
      <c r="O73" s="145">
        <v>7.1219999999999999</v>
      </c>
      <c r="P73" s="145">
        <v>7.1070000000000002</v>
      </c>
      <c r="Q73" s="145">
        <v>7.1189999999999998</v>
      </c>
      <c r="R73" s="145">
        <v>7.2089999999999996</v>
      </c>
      <c r="S73" s="145">
        <v>7.1150000000000002</v>
      </c>
      <c r="T73" s="145">
        <v>7.1559999999999997</v>
      </c>
      <c r="U73" s="145">
        <v>7.1574999999999998</v>
      </c>
      <c r="V73" s="145" t="s">
        <v>3</v>
      </c>
      <c r="W73" s="157" t="s">
        <v>3</v>
      </c>
      <c r="X73" s="157">
        <v>7.1280000000000001</v>
      </c>
      <c r="Y73" s="157" t="s">
        <v>3</v>
      </c>
      <c r="Z73" s="158" t="s">
        <v>3</v>
      </c>
      <c r="AA73" s="163" t="s">
        <v>3</v>
      </c>
      <c r="AB73" s="163" t="s">
        <v>3</v>
      </c>
      <c r="AC73" s="159" t="s">
        <v>3</v>
      </c>
      <c r="AD73" s="159" t="s">
        <v>3</v>
      </c>
      <c r="AE73" s="150">
        <v>7.4109999999999996</v>
      </c>
      <c r="AF73" s="150">
        <v>7.4580000000000002</v>
      </c>
      <c r="AG73" s="150" t="s">
        <v>3</v>
      </c>
      <c r="AH73" s="150" t="s">
        <v>3</v>
      </c>
      <c r="AI73" s="151" t="s">
        <v>3</v>
      </c>
      <c r="AJ73" s="161">
        <v>8.9576833333333301</v>
      </c>
      <c r="AK73" s="151">
        <v>8.8110666666666706</v>
      </c>
      <c r="AL73" s="161">
        <v>8.5630166666666696</v>
      </c>
      <c r="AM73" s="161" t="s">
        <v>3</v>
      </c>
      <c r="AN73" s="152" t="s">
        <v>3</v>
      </c>
      <c r="AO73" s="152" t="s">
        <v>3</v>
      </c>
      <c r="AP73" s="152" t="s">
        <v>3</v>
      </c>
      <c r="AQ73" s="152" t="s">
        <v>3</v>
      </c>
      <c r="AR73" s="152" t="s">
        <v>3</v>
      </c>
      <c r="AS73" s="153" t="s">
        <v>3</v>
      </c>
      <c r="AT73" s="153" t="s">
        <v>3</v>
      </c>
      <c r="AU73" s="153" t="s">
        <v>3</v>
      </c>
      <c r="AV73" s="153" t="s">
        <v>3</v>
      </c>
      <c r="AW73" s="154" t="s">
        <v>3</v>
      </c>
      <c r="AX73" s="154" t="s">
        <v>3</v>
      </c>
      <c r="AY73" s="155" t="s">
        <v>3</v>
      </c>
      <c r="AZ73" s="155" t="s">
        <v>3</v>
      </c>
      <c r="BA73" s="156" t="s">
        <v>3</v>
      </c>
    </row>
    <row r="74" spans="1:53" x14ac:dyDescent="0.25">
      <c r="A74" s="38">
        <v>71</v>
      </c>
      <c r="B74" s="139" t="s">
        <v>90</v>
      </c>
      <c r="C74" s="38" t="s">
        <v>138</v>
      </c>
      <c r="D74" s="38" t="s">
        <v>200</v>
      </c>
      <c r="E74" s="48">
        <v>373.15804000000003</v>
      </c>
      <c r="F74" s="140" t="s">
        <v>3</v>
      </c>
      <c r="G74" s="140" t="s">
        <v>3</v>
      </c>
      <c r="H74" s="140" t="s">
        <v>3</v>
      </c>
      <c r="I74" s="160" t="s">
        <v>3</v>
      </c>
      <c r="J74" s="160" t="s">
        <v>3</v>
      </c>
      <c r="K74" s="164">
        <v>20.93</v>
      </c>
      <c r="L74" s="145" t="s">
        <v>3</v>
      </c>
      <c r="M74" s="145">
        <v>6.2069999999999999</v>
      </c>
      <c r="N74" s="145">
        <v>6.2279999999999998</v>
      </c>
      <c r="O74" s="145">
        <v>6.2750000000000004</v>
      </c>
      <c r="P74" s="145">
        <v>6.2539999999999996</v>
      </c>
      <c r="Q74" s="145">
        <v>6.3019999999999996</v>
      </c>
      <c r="R74" s="145">
        <v>6.343</v>
      </c>
      <c r="S74" s="145">
        <v>6.2690000000000001</v>
      </c>
      <c r="T74" s="145">
        <v>6.3090000000000002</v>
      </c>
      <c r="U74" s="145" t="s">
        <v>3</v>
      </c>
      <c r="V74" s="145">
        <v>6.2770000000000001</v>
      </c>
      <c r="W74" s="157" t="s">
        <v>3</v>
      </c>
      <c r="X74" s="157">
        <v>6.3609999999999998</v>
      </c>
      <c r="Y74" s="157" t="s">
        <v>3</v>
      </c>
      <c r="Z74" s="158" t="s">
        <v>3</v>
      </c>
      <c r="AA74" s="163" t="s">
        <v>3</v>
      </c>
      <c r="AB74" s="163" t="s">
        <v>3</v>
      </c>
      <c r="AC74" s="159" t="s">
        <v>3</v>
      </c>
      <c r="AD74" s="159" t="s">
        <v>3</v>
      </c>
      <c r="AE74" s="150">
        <v>6.6609999999999996</v>
      </c>
      <c r="AF74" s="150">
        <v>6.6920000000000002</v>
      </c>
      <c r="AG74" s="150">
        <v>6.6269999999999998</v>
      </c>
      <c r="AH74" s="150" t="s">
        <v>3</v>
      </c>
      <c r="AI74" s="151">
        <v>7.6563833333333298</v>
      </c>
      <c r="AJ74" s="161">
        <v>8.2284833333333296</v>
      </c>
      <c r="AK74" s="151">
        <v>7.8973833333333303</v>
      </c>
      <c r="AL74" s="161">
        <v>7.6111666666666702</v>
      </c>
      <c r="AM74" s="161" t="s">
        <v>3</v>
      </c>
      <c r="AN74" s="152" t="s">
        <v>3</v>
      </c>
      <c r="AO74" s="152" t="s">
        <v>3</v>
      </c>
      <c r="AP74" s="152" t="s">
        <v>3</v>
      </c>
      <c r="AQ74" s="152" t="s">
        <v>3</v>
      </c>
      <c r="AR74" s="152" t="s">
        <v>3</v>
      </c>
      <c r="AS74" s="153" t="s">
        <v>3</v>
      </c>
      <c r="AT74" s="153" t="s">
        <v>3</v>
      </c>
      <c r="AU74" s="153" t="s">
        <v>3</v>
      </c>
      <c r="AV74" s="153" t="s">
        <v>3</v>
      </c>
      <c r="AW74" s="154" t="s">
        <v>3</v>
      </c>
      <c r="AX74" s="154" t="s">
        <v>3</v>
      </c>
      <c r="AY74" s="155" t="s">
        <v>3</v>
      </c>
      <c r="AZ74" s="155">
        <v>8.5404400000000003</v>
      </c>
      <c r="BA74" s="156">
        <v>5.59</v>
      </c>
    </row>
    <row r="75" spans="1:53" x14ac:dyDescent="0.25">
      <c r="A75" s="38">
        <v>72</v>
      </c>
      <c r="B75" s="139" t="s">
        <v>275</v>
      </c>
      <c r="C75" s="38" t="s">
        <v>138</v>
      </c>
      <c r="D75" s="38" t="s">
        <v>201</v>
      </c>
      <c r="E75" s="48">
        <v>401.15295500000002</v>
      </c>
      <c r="F75" s="140" t="s">
        <v>3</v>
      </c>
      <c r="G75" s="140" t="s">
        <v>3</v>
      </c>
      <c r="H75" s="140" t="s">
        <v>3</v>
      </c>
      <c r="I75" s="160" t="s">
        <v>3</v>
      </c>
      <c r="J75" s="160" t="s">
        <v>3</v>
      </c>
      <c r="K75" s="143" t="s">
        <v>3</v>
      </c>
      <c r="L75" s="145" t="s">
        <v>3</v>
      </c>
      <c r="M75" s="145">
        <v>7.2060000000000004</v>
      </c>
      <c r="N75" s="145">
        <v>7.24</v>
      </c>
      <c r="O75" s="145">
        <v>7.32</v>
      </c>
      <c r="P75" s="145">
        <v>7.3040000000000003</v>
      </c>
      <c r="Q75" s="145">
        <v>7.3230000000000004</v>
      </c>
      <c r="R75" s="145">
        <v>7.3609999999999998</v>
      </c>
      <c r="S75" s="145">
        <v>7.2140000000000004</v>
      </c>
      <c r="T75" s="145">
        <v>7.3040000000000003</v>
      </c>
      <c r="U75" s="145">
        <v>7.327</v>
      </c>
      <c r="V75" s="145">
        <v>7.28</v>
      </c>
      <c r="W75" s="157" t="s">
        <v>3</v>
      </c>
      <c r="X75" s="157" t="s">
        <v>3</v>
      </c>
      <c r="Y75" s="157" t="s">
        <v>3</v>
      </c>
      <c r="Z75" s="158" t="s">
        <v>3</v>
      </c>
      <c r="AA75" s="163" t="s">
        <v>3</v>
      </c>
      <c r="AB75" s="163" t="s">
        <v>3</v>
      </c>
      <c r="AC75" s="159" t="s">
        <v>3</v>
      </c>
      <c r="AD75" s="159" t="s">
        <v>3</v>
      </c>
      <c r="AE75" s="150">
        <v>7.4610000000000003</v>
      </c>
      <c r="AF75" s="150">
        <v>7.4580000000000002</v>
      </c>
      <c r="AG75" s="150" t="s">
        <v>3</v>
      </c>
      <c r="AH75" s="150" t="s">
        <v>3</v>
      </c>
      <c r="AI75" s="151" t="s">
        <v>3</v>
      </c>
      <c r="AJ75" s="161">
        <v>7.6878500000000001</v>
      </c>
      <c r="AK75" s="151">
        <v>7.3</v>
      </c>
      <c r="AL75" s="161">
        <v>7.0109666666666701</v>
      </c>
      <c r="AM75" s="161" t="s">
        <v>3</v>
      </c>
      <c r="AN75" s="152" t="s">
        <v>3</v>
      </c>
      <c r="AO75" s="152" t="s">
        <v>3</v>
      </c>
      <c r="AP75" s="152" t="s">
        <v>3</v>
      </c>
      <c r="AQ75" s="152" t="s">
        <v>3</v>
      </c>
      <c r="AR75" s="152" t="s">
        <v>3</v>
      </c>
      <c r="AS75" s="153" t="s">
        <v>3</v>
      </c>
      <c r="AT75" s="153" t="s">
        <v>3</v>
      </c>
      <c r="AU75" s="153" t="s">
        <v>3</v>
      </c>
      <c r="AV75" s="153" t="s">
        <v>3</v>
      </c>
      <c r="AW75" s="154" t="s">
        <v>3</v>
      </c>
      <c r="AX75" s="154" t="s">
        <v>3</v>
      </c>
      <c r="AY75" s="155" t="s">
        <v>3</v>
      </c>
      <c r="AZ75" s="155" t="s">
        <v>3</v>
      </c>
      <c r="BA75" s="156" t="s">
        <v>3</v>
      </c>
    </row>
    <row r="76" spans="1:53" x14ac:dyDescent="0.25">
      <c r="A76" s="38">
        <v>73</v>
      </c>
      <c r="B76" s="139" t="s">
        <v>276</v>
      </c>
      <c r="C76" s="38" t="s">
        <v>138</v>
      </c>
      <c r="D76" s="38" t="s">
        <v>201</v>
      </c>
      <c r="E76" s="48">
        <v>401.15295500000002</v>
      </c>
      <c r="F76" s="140" t="s">
        <v>3</v>
      </c>
      <c r="G76" s="140" t="s">
        <v>3</v>
      </c>
      <c r="H76" s="140" t="s">
        <v>3</v>
      </c>
      <c r="I76" s="160" t="s">
        <v>3</v>
      </c>
      <c r="J76" s="160" t="s">
        <v>3</v>
      </c>
      <c r="K76" s="143" t="s">
        <v>3</v>
      </c>
      <c r="L76" s="145" t="s">
        <v>3</v>
      </c>
      <c r="M76" s="145">
        <v>5.8129999999999997</v>
      </c>
      <c r="N76" s="145">
        <v>5.7850000000000001</v>
      </c>
      <c r="O76" s="145">
        <v>5.8780000000000001</v>
      </c>
      <c r="P76" s="145">
        <v>5.806</v>
      </c>
      <c r="Q76" s="145">
        <v>5.899</v>
      </c>
      <c r="R76" s="145">
        <v>5.8929999999999998</v>
      </c>
      <c r="S76" s="145">
        <v>5.8170000000000002</v>
      </c>
      <c r="T76" s="145">
        <v>5.9589999999999996</v>
      </c>
      <c r="U76" s="145">
        <v>5.8730000000000002</v>
      </c>
      <c r="V76" s="145">
        <v>5.8339999999999996</v>
      </c>
      <c r="W76" s="157" t="s">
        <v>3</v>
      </c>
      <c r="X76" s="157" t="s">
        <v>3</v>
      </c>
      <c r="Y76" s="157" t="s">
        <v>3</v>
      </c>
      <c r="Z76" s="158" t="s">
        <v>3</v>
      </c>
      <c r="AA76" s="163" t="s">
        <v>3</v>
      </c>
      <c r="AB76" s="163" t="s">
        <v>3</v>
      </c>
      <c r="AC76" s="159" t="s">
        <v>3</v>
      </c>
      <c r="AD76" s="159" t="s">
        <v>3</v>
      </c>
      <c r="AE76" s="150">
        <v>5.944</v>
      </c>
      <c r="AF76" s="150">
        <v>5.9249999999999998</v>
      </c>
      <c r="AG76" s="150" t="s">
        <v>3</v>
      </c>
      <c r="AH76" s="150" t="s">
        <v>3</v>
      </c>
      <c r="AI76" s="151" t="s">
        <v>3</v>
      </c>
      <c r="AJ76" s="161">
        <v>9.0579999999999998</v>
      </c>
      <c r="AK76" s="151">
        <v>8.93</v>
      </c>
      <c r="AL76" s="161">
        <v>8.6873000000000005</v>
      </c>
      <c r="AM76" s="161" t="s">
        <v>3</v>
      </c>
      <c r="AN76" s="152" t="s">
        <v>3</v>
      </c>
      <c r="AO76" s="152" t="s">
        <v>3</v>
      </c>
      <c r="AP76" s="152" t="s">
        <v>3</v>
      </c>
      <c r="AQ76" s="152" t="s">
        <v>3</v>
      </c>
      <c r="AR76" s="152" t="s">
        <v>3</v>
      </c>
      <c r="AS76" s="153" t="s">
        <v>3</v>
      </c>
      <c r="AT76" s="153" t="s">
        <v>3</v>
      </c>
      <c r="AU76" s="153" t="s">
        <v>3</v>
      </c>
      <c r="AV76" s="153" t="s">
        <v>3</v>
      </c>
      <c r="AW76" s="154" t="s">
        <v>3</v>
      </c>
      <c r="AX76" s="154" t="s">
        <v>3</v>
      </c>
      <c r="AY76" s="155" t="s">
        <v>3</v>
      </c>
      <c r="AZ76" s="155" t="s">
        <v>3</v>
      </c>
      <c r="BA76" s="156" t="s">
        <v>3</v>
      </c>
    </row>
    <row r="77" spans="1:53" x14ac:dyDescent="0.25">
      <c r="A77" s="38">
        <v>74</v>
      </c>
      <c r="B77" s="139" t="s">
        <v>53</v>
      </c>
      <c r="C77" s="38" t="s">
        <v>138</v>
      </c>
      <c r="D77" s="38" t="s">
        <v>202</v>
      </c>
      <c r="E77" s="48">
        <v>423.169464</v>
      </c>
      <c r="F77" s="141">
        <f>599.528/60</f>
        <v>9.9921333333333333</v>
      </c>
      <c r="G77" s="141">
        <v>10.0078333333333</v>
      </c>
      <c r="H77" s="140" t="s">
        <v>3</v>
      </c>
      <c r="I77" s="160" t="s">
        <v>3</v>
      </c>
      <c r="J77" s="160" t="s">
        <v>3</v>
      </c>
      <c r="K77" s="164">
        <v>29.853000000000002</v>
      </c>
      <c r="L77" s="145" t="s">
        <v>3</v>
      </c>
      <c r="M77" s="145" t="s">
        <v>3</v>
      </c>
      <c r="N77" s="145" t="s">
        <v>3</v>
      </c>
      <c r="O77" s="145">
        <v>9.1750000000000007</v>
      </c>
      <c r="P77" s="145" t="s">
        <v>3</v>
      </c>
      <c r="Q77" s="145" t="s">
        <v>3</v>
      </c>
      <c r="R77" s="145" t="s">
        <v>3</v>
      </c>
      <c r="S77" s="145">
        <v>9.2319999999999993</v>
      </c>
      <c r="T77" s="145" t="s">
        <v>3</v>
      </c>
      <c r="U77" s="145">
        <v>9.2799999999999994</v>
      </c>
      <c r="V77" s="145" t="s">
        <v>3</v>
      </c>
      <c r="W77" s="157" t="s">
        <v>3</v>
      </c>
      <c r="X77" s="157" t="s">
        <v>3</v>
      </c>
      <c r="Y77" s="157" t="s">
        <v>3</v>
      </c>
      <c r="Z77" s="158">
        <v>9.3810000000000002</v>
      </c>
      <c r="AA77" s="163" t="s">
        <v>3</v>
      </c>
      <c r="AB77" s="163" t="s">
        <v>3</v>
      </c>
      <c r="AC77" s="159" t="s">
        <v>3</v>
      </c>
      <c r="AD77" s="159" t="s">
        <v>3</v>
      </c>
      <c r="AE77" s="150">
        <v>8.3439999999999994</v>
      </c>
      <c r="AF77" s="150">
        <v>8.3249999999999993</v>
      </c>
      <c r="AG77" s="150">
        <v>8.26</v>
      </c>
      <c r="AH77" s="150" t="s">
        <v>3</v>
      </c>
      <c r="AI77" s="151" t="s">
        <v>3</v>
      </c>
      <c r="AJ77" s="161">
        <v>10.0768166666667</v>
      </c>
      <c r="AK77" s="151">
        <v>10.139699999999999</v>
      </c>
      <c r="AL77" s="161">
        <v>10.115066666666699</v>
      </c>
      <c r="AM77" s="161" t="s">
        <v>3</v>
      </c>
      <c r="AN77" s="162">
        <v>8.8164176940918004</v>
      </c>
      <c r="AO77" s="162">
        <v>8.6368789672851598</v>
      </c>
      <c r="AP77" s="162">
        <v>8.6365060806274396</v>
      </c>
      <c r="AQ77" s="162">
        <v>8.6343498229980504</v>
      </c>
      <c r="AR77" s="162">
        <v>8.63293552398682</v>
      </c>
      <c r="AS77" s="153" t="s">
        <v>3</v>
      </c>
      <c r="AT77" s="153">
        <v>21.445</v>
      </c>
      <c r="AU77" s="153" t="s">
        <v>3</v>
      </c>
      <c r="AV77" s="153" t="s">
        <v>3</v>
      </c>
      <c r="AW77" s="154" t="s">
        <v>3</v>
      </c>
      <c r="AX77" s="154" t="s">
        <v>3</v>
      </c>
      <c r="AY77" s="155" t="s">
        <v>3</v>
      </c>
      <c r="AZ77" s="155" t="s">
        <v>3</v>
      </c>
      <c r="BA77" s="156" t="s">
        <v>3</v>
      </c>
    </row>
    <row r="78" spans="1:53" x14ac:dyDescent="0.25">
      <c r="A78" s="38">
        <v>75</v>
      </c>
      <c r="B78" s="139" t="s">
        <v>53</v>
      </c>
      <c r="C78" s="38" t="s">
        <v>139</v>
      </c>
      <c r="D78" s="38" t="s">
        <v>202</v>
      </c>
      <c r="E78" s="48">
        <v>421.15491100000003</v>
      </c>
      <c r="F78" s="140" t="s">
        <v>564</v>
      </c>
      <c r="G78" s="140" t="s">
        <v>564</v>
      </c>
      <c r="H78" s="140" t="s">
        <v>564</v>
      </c>
      <c r="I78" s="160" t="s">
        <v>3</v>
      </c>
      <c r="J78" s="160" t="s">
        <v>3</v>
      </c>
      <c r="K78" s="164">
        <v>29.8571666666667</v>
      </c>
      <c r="L78" s="145" t="s">
        <v>3</v>
      </c>
      <c r="M78" s="145">
        <v>9.3659999999999997</v>
      </c>
      <c r="N78" s="145" t="s">
        <v>3</v>
      </c>
      <c r="O78" s="145">
        <v>9.3170000000000002</v>
      </c>
      <c r="P78" s="145" t="s">
        <v>3</v>
      </c>
      <c r="Q78" s="145" t="s">
        <v>3</v>
      </c>
      <c r="R78" s="145" t="s">
        <v>3</v>
      </c>
      <c r="S78" s="145">
        <v>9.3260000000000005</v>
      </c>
      <c r="T78" s="145" t="s">
        <v>3</v>
      </c>
      <c r="U78" s="145">
        <v>9.298</v>
      </c>
      <c r="V78" s="145" t="s">
        <v>3</v>
      </c>
      <c r="W78" s="146" t="s">
        <v>564</v>
      </c>
      <c r="X78" s="146" t="s">
        <v>564</v>
      </c>
      <c r="Y78" s="146" t="s">
        <v>564</v>
      </c>
      <c r="Z78" s="158" t="s">
        <v>3</v>
      </c>
      <c r="AA78" s="163" t="s">
        <v>3</v>
      </c>
      <c r="AB78" s="163" t="s">
        <v>3</v>
      </c>
      <c r="AC78" s="159" t="s">
        <v>3</v>
      </c>
      <c r="AD78" s="159" t="s">
        <v>3</v>
      </c>
      <c r="AE78" s="150">
        <v>7.6580000000000004</v>
      </c>
      <c r="AF78" s="150">
        <v>7.5410000000000004</v>
      </c>
      <c r="AG78" s="150">
        <v>7.7750000000000004</v>
      </c>
      <c r="AH78" s="150" t="s">
        <v>3</v>
      </c>
      <c r="AI78" s="151" t="s">
        <v>3</v>
      </c>
      <c r="AJ78" s="151" t="s">
        <v>564</v>
      </c>
      <c r="AK78" s="161">
        <v>10.1084</v>
      </c>
      <c r="AL78" s="161">
        <v>10.11505</v>
      </c>
      <c r="AM78" s="151" t="s">
        <v>564</v>
      </c>
      <c r="AN78" s="152" t="s">
        <v>564</v>
      </c>
      <c r="AO78" s="152" t="s">
        <v>564</v>
      </c>
      <c r="AP78" s="152" t="s">
        <v>564</v>
      </c>
      <c r="AQ78" s="152" t="s">
        <v>564</v>
      </c>
      <c r="AR78" s="152" t="s">
        <v>564</v>
      </c>
      <c r="AS78" s="153" t="s">
        <v>3</v>
      </c>
      <c r="AT78" s="153" t="s">
        <v>3</v>
      </c>
      <c r="AU78" s="153" t="s">
        <v>3</v>
      </c>
      <c r="AV78" s="153" t="s">
        <v>3</v>
      </c>
      <c r="AW78" s="154" t="s">
        <v>3</v>
      </c>
      <c r="AX78" s="154" t="s">
        <v>3</v>
      </c>
      <c r="AY78" s="155" t="s">
        <v>3</v>
      </c>
      <c r="AZ78" s="155" t="s">
        <v>3</v>
      </c>
      <c r="BA78" s="156" t="s">
        <v>3</v>
      </c>
    </row>
    <row r="79" spans="1:53" x14ac:dyDescent="0.25">
      <c r="A79" s="38">
        <v>76</v>
      </c>
      <c r="B79" s="139" t="s">
        <v>91</v>
      </c>
      <c r="C79" s="38" t="s">
        <v>138</v>
      </c>
      <c r="D79" s="38" t="s">
        <v>203</v>
      </c>
      <c r="E79" s="48">
        <v>437.14872800000001</v>
      </c>
      <c r="F79" s="141">
        <f>620.15/60</f>
        <v>10.335833333333333</v>
      </c>
      <c r="G79" s="141">
        <v>10.342499999999999</v>
      </c>
      <c r="H79" s="140" t="s">
        <v>3</v>
      </c>
      <c r="I79" s="160" t="s">
        <v>3</v>
      </c>
      <c r="J79" s="160" t="s">
        <v>3</v>
      </c>
      <c r="K79" s="143" t="s">
        <v>3</v>
      </c>
      <c r="L79" s="145" t="s">
        <v>3</v>
      </c>
      <c r="M79" s="145">
        <v>7.008</v>
      </c>
      <c r="N79" s="145">
        <v>6.9859999999999998</v>
      </c>
      <c r="O79" s="145" t="s">
        <v>3</v>
      </c>
      <c r="P79" s="145" t="s">
        <v>3</v>
      </c>
      <c r="Q79" s="145">
        <v>7.0140000000000002</v>
      </c>
      <c r="R79" s="145" t="s">
        <v>3</v>
      </c>
      <c r="S79" s="145" t="s">
        <v>3</v>
      </c>
      <c r="T79" s="145" t="s">
        <v>3</v>
      </c>
      <c r="U79" s="145" t="s">
        <v>3</v>
      </c>
      <c r="V79" s="145" t="s">
        <v>3</v>
      </c>
      <c r="W79" s="157" t="s">
        <v>3</v>
      </c>
      <c r="X79" s="157" t="s">
        <v>3</v>
      </c>
      <c r="Y79" s="157" t="s">
        <v>3</v>
      </c>
      <c r="Z79" s="158" t="s">
        <v>3</v>
      </c>
      <c r="AA79" s="163" t="s">
        <v>3</v>
      </c>
      <c r="AB79" s="163" t="s">
        <v>3</v>
      </c>
      <c r="AC79" s="159" t="s">
        <v>3</v>
      </c>
      <c r="AD79" s="159" t="s">
        <v>3</v>
      </c>
      <c r="AE79" s="150" t="s">
        <v>3</v>
      </c>
      <c r="AF79" s="150" t="s">
        <v>3</v>
      </c>
      <c r="AG79" s="150" t="s">
        <v>3</v>
      </c>
      <c r="AH79" s="150" t="s">
        <v>3</v>
      </c>
      <c r="AI79" s="151" t="s">
        <v>3</v>
      </c>
      <c r="AJ79" s="161">
        <v>10.4120166666667</v>
      </c>
      <c r="AK79" s="161">
        <v>10.370150000000001</v>
      </c>
      <c r="AL79" s="161">
        <v>10.4667333333333</v>
      </c>
      <c r="AM79" s="161" t="s">
        <v>3</v>
      </c>
      <c r="AN79" s="152" t="s">
        <v>3</v>
      </c>
      <c r="AO79" s="152" t="s">
        <v>3</v>
      </c>
      <c r="AP79" s="152" t="s">
        <v>3</v>
      </c>
      <c r="AQ79" s="152" t="s">
        <v>3</v>
      </c>
      <c r="AR79" s="152" t="s">
        <v>3</v>
      </c>
      <c r="AS79" s="153" t="s">
        <v>3</v>
      </c>
      <c r="AT79" s="153">
        <v>23.076000000000001</v>
      </c>
      <c r="AU79" s="153" t="s">
        <v>3</v>
      </c>
      <c r="AV79" s="153" t="s">
        <v>3</v>
      </c>
      <c r="AW79" s="154" t="s">
        <v>3</v>
      </c>
      <c r="AX79" s="154" t="s">
        <v>3</v>
      </c>
      <c r="AY79" s="155" t="s">
        <v>3</v>
      </c>
      <c r="AZ79" s="155" t="s">
        <v>3</v>
      </c>
      <c r="BA79" s="156" t="s">
        <v>3</v>
      </c>
    </row>
    <row r="80" spans="1:53" x14ac:dyDescent="0.25">
      <c r="A80" s="38">
        <v>77</v>
      </c>
      <c r="B80" s="139" t="s">
        <v>117</v>
      </c>
      <c r="C80" s="38" t="s">
        <v>138</v>
      </c>
      <c r="D80" s="38" t="s">
        <v>204</v>
      </c>
      <c r="E80" s="48">
        <v>384.17402499999997</v>
      </c>
      <c r="F80" s="140" t="s">
        <v>3</v>
      </c>
      <c r="G80" s="140" t="s">
        <v>3</v>
      </c>
      <c r="H80" s="140" t="s">
        <v>3</v>
      </c>
      <c r="I80" s="160" t="s">
        <v>3</v>
      </c>
      <c r="J80" s="160" t="s">
        <v>3</v>
      </c>
      <c r="K80" s="143" t="s">
        <v>3</v>
      </c>
      <c r="L80" s="145" t="s">
        <v>3</v>
      </c>
      <c r="M80" s="145">
        <v>6.5570000000000004</v>
      </c>
      <c r="N80" s="145">
        <v>6.48</v>
      </c>
      <c r="O80" s="145">
        <v>6.5250000000000004</v>
      </c>
      <c r="P80" s="145">
        <v>6.5030000000000001</v>
      </c>
      <c r="Q80" s="145">
        <v>6.6120000000000001</v>
      </c>
      <c r="R80" s="145">
        <v>6.5970000000000004</v>
      </c>
      <c r="S80" s="145">
        <v>6.516</v>
      </c>
      <c r="T80" s="145">
        <v>6.6159999999999997</v>
      </c>
      <c r="U80" s="145">
        <v>6.5819999999999999</v>
      </c>
      <c r="V80" s="145">
        <v>6.5810000000000004</v>
      </c>
      <c r="W80" s="157" t="s">
        <v>3</v>
      </c>
      <c r="X80" s="157" t="s">
        <v>3</v>
      </c>
      <c r="Y80" s="157" t="s">
        <v>3</v>
      </c>
      <c r="Z80" s="158" t="s">
        <v>3</v>
      </c>
      <c r="AA80" s="163" t="s">
        <v>3</v>
      </c>
      <c r="AB80" s="163" t="s">
        <v>3</v>
      </c>
      <c r="AC80" s="159" t="s">
        <v>3</v>
      </c>
      <c r="AD80" s="159" t="s">
        <v>3</v>
      </c>
      <c r="AE80" s="150">
        <v>7.4939999999999998</v>
      </c>
      <c r="AF80" s="150">
        <v>7.4909999999999997</v>
      </c>
      <c r="AG80" s="150" t="s">
        <v>3</v>
      </c>
      <c r="AH80" s="150" t="s">
        <v>3</v>
      </c>
      <c r="AI80" s="151" t="s">
        <v>3</v>
      </c>
      <c r="AJ80" s="161">
        <v>8.9262499999999996</v>
      </c>
      <c r="AK80" s="151" t="s">
        <v>3</v>
      </c>
      <c r="AL80" s="161">
        <v>8.4322999999999997</v>
      </c>
      <c r="AM80" s="161" t="s">
        <v>3</v>
      </c>
      <c r="AN80" s="152" t="s">
        <v>3</v>
      </c>
      <c r="AO80" s="152" t="s">
        <v>3</v>
      </c>
      <c r="AP80" s="152" t="s">
        <v>3</v>
      </c>
      <c r="AQ80" s="152" t="s">
        <v>3</v>
      </c>
      <c r="AR80" s="152" t="s">
        <v>3</v>
      </c>
      <c r="AS80" s="153" t="s">
        <v>3</v>
      </c>
      <c r="AT80" s="153" t="s">
        <v>3</v>
      </c>
      <c r="AU80" s="153" t="s">
        <v>3</v>
      </c>
      <c r="AV80" s="153" t="s">
        <v>3</v>
      </c>
      <c r="AW80" s="154" t="s">
        <v>3</v>
      </c>
      <c r="AX80" s="154" t="s">
        <v>3</v>
      </c>
      <c r="AY80" s="155" t="s">
        <v>3</v>
      </c>
      <c r="AZ80" s="155" t="s">
        <v>3</v>
      </c>
      <c r="BA80" s="156" t="s">
        <v>3</v>
      </c>
    </row>
    <row r="81" spans="1:53" x14ac:dyDescent="0.25">
      <c r="A81" s="38">
        <v>78</v>
      </c>
      <c r="B81" s="139" t="s">
        <v>92</v>
      </c>
      <c r="C81" s="38" t="s">
        <v>138</v>
      </c>
      <c r="D81" s="38" t="s">
        <v>205</v>
      </c>
      <c r="E81" s="48">
        <v>296.12159500000001</v>
      </c>
      <c r="F81" s="140" t="s">
        <v>3</v>
      </c>
      <c r="G81" s="140" t="s">
        <v>3</v>
      </c>
      <c r="H81" s="140" t="s">
        <v>3</v>
      </c>
      <c r="I81" s="160" t="s">
        <v>3</v>
      </c>
      <c r="J81" s="160" t="s">
        <v>3</v>
      </c>
      <c r="K81" s="164">
        <v>20.562999999999999</v>
      </c>
      <c r="L81" s="145" t="s">
        <v>3</v>
      </c>
      <c r="M81" s="145">
        <v>8.1050000000000004</v>
      </c>
      <c r="N81" s="145">
        <v>8.0389999999999997</v>
      </c>
      <c r="O81" s="145">
        <v>8.0760000000000005</v>
      </c>
      <c r="P81" s="145">
        <v>8.0530000000000008</v>
      </c>
      <c r="Q81" s="145">
        <v>8.1150000000000002</v>
      </c>
      <c r="R81" s="145">
        <v>8.2200000000000006</v>
      </c>
      <c r="S81" s="145">
        <v>8.0730000000000004</v>
      </c>
      <c r="T81" s="145">
        <v>8.0909999999999993</v>
      </c>
      <c r="U81" s="145">
        <v>8.0739999999999998</v>
      </c>
      <c r="V81" s="145">
        <v>8.077</v>
      </c>
      <c r="W81" s="157" t="s">
        <v>3</v>
      </c>
      <c r="X81" s="157" t="s">
        <v>3</v>
      </c>
      <c r="Y81" s="157" t="s">
        <v>3</v>
      </c>
      <c r="Z81" s="158" t="s">
        <v>3</v>
      </c>
      <c r="AA81" s="163" t="s">
        <v>3</v>
      </c>
      <c r="AB81" s="163" t="s">
        <v>3</v>
      </c>
      <c r="AC81" s="159" t="s">
        <v>3</v>
      </c>
      <c r="AD81" s="159" t="s">
        <v>3</v>
      </c>
      <c r="AE81" s="150">
        <v>7.6269999999999998</v>
      </c>
      <c r="AF81" s="150">
        <v>7.5750000000000002</v>
      </c>
      <c r="AG81" s="150">
        <v>7.6109999999999998</v>
      </c>
      <c r="AH81" s="150" t="s">
        <v>3</v>
      </c>
      <c r="AI81" s="151" t="s">
        <v>3</v>
      </c>
      <c r="AJ81" s="161">
        <v>9.0060166666666692</v>
      </c>
      <c r="AK81" s="151" t="s">
        <v>3</v>
      </c>
      <c r="AL81" s="161">
        <v>8.5077833333333306</v>
      </c>
      <c r="AM81" s="161" t="s">
        <v>3</v>
      </c>
      <c r="AN81" s="152" t="s">
        <v>3</v>
      </c>
      <c r="AO81" s="152" t="s">
        <v>3</v>
      </c>
      <c r="AP81" s="152" t="s">
        <v>3</v>
      </c>
      <c r="AQ81" s="152" t="s">
        <v>3</v>
      </c>
      <c r="AR81" s="152" t="s">
        <v>3</v>
      </c>
      <c r="AS81" s="153" t="s">
        <v>3</v>
      </c>
      <c r="AT81" s="153" t="s">
        <v>3</v>
      </c>
      <c r="AU81" s="153" t="s">
        <v>3</v>
      </c>
      <c r="AV81" s="153" t="s">
        <v>3</v>
      </c>
      <c r="AW81" s="154" t="s">
        <v>3</v>
      </c>
      <c r="AX81" s="154" t="s">
        <v>3</v>
      </c>
      <c r="AY81" s="155">
        <v>9.5806000000000004</v>
      </c>
      <c r="AZ81" s="155" t="s">
        <v>3</v>
      </c>
      <c r="BA81" s="156" t="s">
        <v>3</v>
      </c>
    </row>
    <row r="82" spans="1:53" x14ac:dyDescent="0.25">
      <c r="A82" s="38">
        <v>79</v>
      </c>
      <c r="B82" s="139" t="s">
        <v>93</v>
      </c>
      <c r="C82" s="38" t="s">
        <v>138</v>
      </c>
      <c r="D82" s="38" t="s">
        <v>206</v>
      </c>
      <c r="E82" s="48">
        <v>408.12535600000001</v>
      </c>
      <c r="F82" s="141">
        <f>526.57/60</f>
        <v>8.7761666666666667</v>
      </c>
      <c r="G82" s="141">
        <v>8.7848666666666695</v>
      </c>
      <c r="H82" s="140" t="s">
        <v>3</v>
      </c>
      <c r="I82" s="160" t="s">
        <v>3</v>
      </c>
      <c r="J82" s="160" t="s">
        <v>3</v>
      </c>
      <c r="K82" s="164">
        <v>19.122</v>
      </c>
      <c r="L82" s="145" t="s">
        <v>3</v>
      </c>
      <c r="M82" s="145">
        <v>5.0209999999999999</v>
      </c>
      <c r="N82" s="145">
        <v>5.0339999999999998</v>
      </c>
      <c r="O82" s="145">
        <v>5.0780000000000003</v>
      </c>
      <c r="P82" s="145">
        <v>5.056</v>
      </c>
      <c r="Q82" s="145">
        <v>5.1059999999999999</v>
      </c>
      <c r="R82" s="145">
        <v>5.133</v>
      </c>
      <c r="S82" s="145">
        <v>5.0579999999999998</v>
      </c>
      <c r="T82" s="145">
        <v>5.1660000000000004</v>
      </c>
      <c r="U82" s="145">
        <v>5.1289999999999996</v>
      </c>
      <c r="V82" s="145">
        <v>5.0919999999999996</v>
      </c>
      <c r="W82" s="157">
        <v>5.26</v>
      </c>
      <c r="X82" s="157">
        <v>5.1829999999999998</v>
      </c>
      <c r="Y82" s="157" t="s">
        <v>3</v>
      </c>
      <c r="Z82" s="158" t="s">
        <v>3</v>
      </c>
      <c r="AA82" s="163">
        <v>5.6120000000000001</v>
      </c>
      <c r="AB82" s="163" t="s">
        <v>3</v>
      </c>
      <c r="AC82" s="159" t="s">
        <v>3</v>
      </c>
      <c r="AD82" s="159" t="s">
        <v>3</v>
      </c>
      <c r="AE82" s="150">
        <v>5.2779999999999996</v>
      </c>
      <c r="AF82" s="150">
        <v>5.3079999999999998</v>
      </c>
      <c r="AG82" s="150" t="s">
        <v>3</v>
      </c>
      <c r="AH82" s="150" t="s">
        <v>3</v>
      </c>
      <c r="AI82" s="151">
        <v>5.7556833333333302</v>
      </c>
      <c r="AJ82" s="161">
        <v>6.8055833333333302</v>
      </c>
      <c r="AK82" s="161">
        <v>6.0240499999999999</v>
      </c>
      <c r="AL82" s="161">
        <v>5.7350166666666702</v>
      </c>
      <c r="AM82" s="161" t="s">
        <v>3</v>
      </c>
      <c r="AN82" s="152" t="s">
        <v>3</v>
      </c>
      <c r="AO82" s="152" t="s">
        <v>3</v>
      </c>
      <c r="AP82" s="152" t="s">
        <v>3</v>
      </c>
      <c r="AQ82" s="152" t="s">
        <v>3</v>
      </c>
      <c r="AR82" s="152" t="s">
        <v>3</v>
      </c>
      <c r="AS82" s="153" t="s">
        <v>3</v>
      </c>
      <c r="AT82" s="153">
        <v>15.603</v>
      </c>
      <c r="AU82" s="153" t="s">
        <v>3</v>
      </c>
      <c r="AV82" s="153">
        <v>16.196999999999999</v>
      </c>
      <c r="AW82" s="154" t="s">
        <v>3</v>
      </c>
      <c r="AX82" s="154">
        <v>6.4683000000000002</v>
      </c>
      <c r="AY82" s="155">
        <v>7.3365499999999999</v>
      </c>
      <c r="AZ82" s="155">
        <v>6.4936699999999998</v>
      </c>
      <c r="BA82" s="156">
        <v>4.4400000000000004</v>
      </c>
    </row>
    <row r="83" spans="1:53" x14ac:dyDescent="0.25">
      <c r="A83" s="38">
        <v>80</v>
      </c>
      <c r="B83" s="139" t="s">
        <v>94</v>
      </c>
      <c r="C83" s="38" t="s">
        <v>138</v>
      </c>
      <c r="D83" s="38" t="s">
        <v>207</v>
      </c>
      <c r="E83" s="48">
        <v>304.201954</v>
      </c>
      <c r="F83" s="140" t="s">
        <v>3</v>
      </c>
      <c r="G83" s="140" t="s">
        <v>3</v>
      </c>
      <c r="H83" s="140" t="s">
        <v>3</v>
      </c>
      <c r="I83" s="160" t="s">
        <v>3</v>
      </c>
      <c r="J83" s="160" t="s">
        <v>3</v>
      </c>
      <c r="K83" s="143" t="s">
        <v>3</v>
      </c>
      <c r="L83" s="145" t="s">
        <v>3</v>
      </c>
      <c r="M83" s="145" t="s">
        <v>3</v>
      </c>
      <c r="N83" s="145">
        <v>2.3380000000000001</v>
      </c>
      <c r="O83" s="145">
        <v>2.387</v>
      </c>
      <c r="P83" s="145">
        <v>2.3439999999999999</v>
      </c>
      <c r="Q83" s="145">
        <v>2.343</v>
      </c>
      <c r="R83" s="145">
        <v>2.6680000000000001</v>
      </c>
      <c r="S83" s="145">
        <v>2.411</v>
      </c>
      <c r="T83" s="145">
        <v>2.3410000000000002</v>
      </c>
      <c r="U83" s="145">
        <v>2.3420000000000001</v>
      </c>
      <c r="V83" s="145">
        <v>2.4369999999999998</v>
      </c>
      <c r="W83" s="157">
        <v>2.2290000000000001</v>
      </c>
      <c r="X83" s="157">
        <v>2.2160000000000002</v>
      </c>
      <c r="Y83" s="157" t="s">
        <v>3</v>
      </c>
      <c r="Z83" s="158">
        <v>2.3740000000000001</v>
      </c>
      <c r="AA83" s="163">
        <v>2.4769999999999999</v>
      </c>
      <c r="AB83" s="163" t="s">
        <v>564</v>
      </c>
      <c r="AC83" s="159" t="s">
        <v>3</v>
      </c>
      <c r="AD83" s="159" t="s">
        <v>3</v>
      </c>
      <c r="AE83" s="150">
        <v>3.194</v>
      </c>
      <c r="AF83" s="150">
        <v>3.2749999999999999</v>
      </c>
      <c r="AG83" s="150" t="s">
        <v>3</v>
      </c>
      <c r="AH83" s="150" t="s">
        <v>3</v>
      </c>
      <c r="AI83" s="151">
        <v>2.4320833333333298</v>
      </c>
      <c r="AJ83" s="161">
        <v>2.8889499999999999</v>
      </c>
      <c r="AK83" s="161">
        <v>2.5537999999999998</v>
      </c>
      <c r="AL83" s="161">
        <v>2.4172833333333301</v>
      </c>
      <c r="AM83" s="161" t="s">
        <v>3</v>
      </c>
      <c r="AN83" s="152" t="s">
        <v>3</v>
      </c>
      <c r="AO83" s="152" t="s">
        <v>3</v>
      </c>
      <c r="AP83" s="152" t="s">
        <v>3</v>
      </c>
      <c r="AQ83" s="152" t="s">
        <v>3</v>
      </c>
      <c r="AR83" s="152" t="s">
        <v>3</v>
      </c>
      <c r="AS83" s="153" t="s">
        <v>3</v>
      </c>
      <c r="AT83" s="153" t="s">
        <v>3</v>
      </c>
      <c r="AU83" s="153" t="s">
        <v>3</v>
      </c>
      <c r="AV83" s="153" t="s">
        <v>3</v>
      </c>
      <c r="AW83" s="154" t="s">
        <v>3</v>
      </c>
      <c r="AX83" s="154" t="s">
        <v>3</v>
      </c>
      <c r="AY83" s="155" t="s">
        <v>3</v>
      </c>
      <c r="AZ83" s="155" t="s">
        <v>3</v>
      </c>
      <c r="BA83" s="156">
        <v>2.41</v>
      </c>
    </row>
    <row r="84" spans="1:53" x14ac:dyDescent="0.25">
      <c r="A84" s="38">
        <v>81</v>
      </c>
      <c r="B84" s="139" t="s">
        <v>54</v>
      </c>
      <c r="C84" s="38" t="s">
        <v>138</v>
      </c>
      <c r="D84" s="38" t="s">
        <v>208</v>
      </c>
      <c r="E84" s="48">
        <v>346.12198899999999</v>
      </c>
      <c r="F84" s="140" t="s">
        <v>3</v>
      </c>
      <c r="G84" s="140" t="s">
        <v>3</v>
      </c>
      <c r="H84" s="140" t="s">
        <v>3</v>
      </c>
      <c r="I84" s="160" t="s">
        <v>3</v>
      </c>
      <c r="J84" s="160" t="s">
        <v>3</v>
      </c>
      <c r="K84" s="143" t="s">
        <v>3</v>
      </c>
      <c r="L84" s="145" t="s">
        <v>3</v>
      </c>
      <c r="M84" s="145" t="s">
        <v>3</v>
      </c>
      <c r="N84" s="145">
        <v>5.234</v>
      </c>
      <c r="O84" s="145">
        <v>5.2759999999999998</v>
      </c>
      <c r="P84" s="145" t="s">
        <v>3</v>
      </c>
      <c r="Q84" s="145" t="s">
        <v>3</v>
      </c>
      <c r="R84" s="145" t="s">
        <v>3</v>
      </c>
      <c r="S84" s="145">
        <v>5.2610000000000001</v>
      </c>
      <c r="T84" s="145">
        <v>5.3639999999999999</v>
      </c>
      <c r="U84" s="145">
        <v>5.2770000000000001</v>
      </c>
      <c r="V84" s="145" t="s">
        <v>3</v>
      </c>
      <c r="W84" s="157" t="s">
        <v>3</v>
      </c>
      <c r="X84" s="157" t="s">
        <v>3</v>
      </c>
      <c r="Y84" s="157" t="s">
        <v>3</v>
      </c>
      <c r="Z84" s="158" t="s">
        <v>3</v>
      </c>
      <c r="AA84" s="163" t="s">
        <v>3</v>
      </c>
      <c r="AB84" s="163" t="s">
        <v>3</v>
      </c>
      <c r="AC84" s="159" t="s">
        <v>3</v>
      </c>
      <c r="AD84" s="159" t="s">
        <v>3</v>
      </c>
      <c r="AE84" s="150">
        <v>7.0270000000000001</v>
      </c>
      <c r="AF84" s="150">
        <v>7.4249999999999998</v>
      </c>
      <c r="AG84" s="150">
        <v>6.2110000000000003</v>
      </c>
      <c r="AH84" s="150" t="s">
        <v>3</v>
      </c>
      <c r="AI84" s="151" t="s">
        <v>3</v>
      </c>
      <c r="AJ84" s="161">
        <v>7.7716500000000002</v>
      </c>
      <c r="AK84" s="161">
        <v>7.8973833333333303</v>
      </c>
      <c r="AL84" s="161">
        <v>8.0042500000000008</v>
      </c>
      <c r="AM84" s="161" t="s">
        <v>3</v>
      </c>
      <c r="AN84" s="152" t="s">
        <v>3</v>
      </c>
      <c r="AO84" s="152" t="s">
        <v>3</v>
      </c>
      <c r="AP84" s="152" t="s">
        <v>3</v>
      </c>
      <c r="AQ84" s="152" t="s">
        <v>3</v>
      </c>
      <c r="AR84" s="152" t="s">
        <v>3</v>
      </c>
      <c r="AS84" s="153" t="s">
        <v>3</v>
      </c>
      <c r="AT84" s="153" t="s">
        <v>3</v>
      </c>
      <c r="AU84" s="153" t="s">
        <v>3</v>
      </c>
      <c r="AV84" s="153" t="s">
        <v>3</v>
      </c>
      <c r="AW84" s="154" t="s">
        <v>3</v>
      </c>
      <c r="AX84" s="154" t="s">
        <v>3</v>
      </c>
      <c r="AY84" s="155" t="s">
        <v>3</v>
      </c>
      <c r="AZ84" s="155" t="s">
        <v>3</v>
      </c>
      <c r="BA84" s="156">
        <v>5.31</v>
      </c>
    </row>
    <row r="85" spans="1:53" x14ac:dyDescent="0.25">
      <c r="A85" s="38">
        <v>82</v>
      </c>
      <c r="B85" s="139" t="s">
        <v>54</v>
      </c>
      <c r="C85" s="38" t="s">
        <v>139</v>
      </c>
      <c r="D85" s="38" t="s">
        <v>208</v>
      </c>
      <c r="E85" s="48">
        <v>344.10743600000001</v>
      </c>
      <c r="F85" s="140" t="s">
        <v>564</v>
      </c>
      <c r="G85" s="140" t="s">
        <v>564</v>
      </c>
      <c r="H85" s="140" t="s">
        <v>564</v>
      </c>
      <c r="I85" s="160" t="s">
        <v>3</v>
      </c>
      <c r="J85" s="160" t="s">
        <v>3</v>
      </c>
      <c r="K85" s="143" t="s">
        <v>3</v>
      </c>
      <c r="L85" s="145" t="s">
        <v>3</v>
      </c>
      <c r="M85" s="145" t="s">
        <v>3</v>
      </c>
      <c r="N85" s="145" t="s">
        <v>3</v>
      </c>
      <c r="O85" s="145" t="s">
        <v>3</v>
      </c>
      <c r="P85" s="145" t="s">
        <v>3</v>
      </c>
      <c r="Q85" s="145" t="s">
        <v>3</v>
      </c>
      <c r="R85" s="145" t="s">
        <v>3</v>
      </c>
      <c r="S85" s="145" t="s">
        <v>3</v>
      </c>
      <c r="T85" s="145" t="s">
        <v>3</v>
      </c>
      <c r="U85" s="145" t="s">
        <v>3</v>
      </c>
      <c r="V85" s="145" t="s">
        <v>3</v>
      </c>
      <c r="W85" s="146" t="s">
        <v>564</v>
      </c>
      <c r="X85" s="146" t="s">
        <v>564</v>
      </c>
      <c r="Y85" s="146" t="s">
        <v>564</v>
      </c>
      <c r="Z85" s="158" t="s">
        <v>3</v>
      </c>
      <c r="AA85" s="163" t="s">
        <v>3</v>
      </c>
      <c r="AB85" s="163" t="s">
        <v>3</v>
      </c>
      <c r="AC85" s="159" t="s">
        <v>3</v>
      </c>
      <c r="AD85" s="159" t="s">
        <v>3</v>
      </c>
      <c r="AE85" s="150" t="s">
        <v>3</v>
      </c>
      <c r="AF85" s="150" t="s">
        <v>3</v>
      </c>
      <c r="AG85" s="150" t="s">
        <v>3</v>
      </c>
      <c r="AH85" s="150" t="s">
        <v>3</v>
      </c>
      <c r="AI85" s="151" t="s">
        <v>3</v>
      </c>
      <c r="AJ85" s="151" t="s">
        <v>564</v>
      </c>
      <c r="AK85" s="151" t="s">
        <v>3</v>
      </c>
      <c r="AL85" s="151" t="s">
        <v>3</v>
      </c>
      <c r="AM85" s="151" t="s">
        <v>564</v>
      </c>
      <c r="AN85" s="152" t="s">
        <v>564</v>
      </c>
      <c r="AO85" s="152" t="s">
        <v>564</v>
      </c>
      <c r="AP85" s="152" t="s">
        <v>564</v>
      </c>
      <c r="AQ85" s="152" t="s">
        <v>564</v>
      </c>
      <c r="AR85" s="152" t="s">
        <v>564</v>
      </c>
      <c r="AS85" s="153" t="s">
        <v>3</v>
      </c>
      <c r="AT85" s="153" t="s">
        <v>3</v>
      </c>
      <c r="AU85" s="153" t="s">
        <v>3</v>
      </c>
      <c r="AV85" s="153" t="s">
        <v>3</v>
      </c>
      <c r="AW85" s="154" t="s">
        <v>3</v>
      </c>
      <c r="AX85" s="154" t="s">
        <v>3</v>
      </c>
      <c r="AY85" s="155" t="s">
        <v>3</v>
      </c>
      <c r="AZ85" s="155" t="s">
        <v>3</v>
      </c>
      <c r="BA85" s="156" t="s">
        <v>3</v>
      </c>
    </row>
    <row r="86" spans="1:53" x14ac:dyDescent="0.25">
      <c r="A86" s="38">
        <v>83</v>
      </c>
      <c r="B86" s="139" t="s">
        <v>95</v>
      </c>
      <c r="C86" s="38" t="s">
        <v>138</v>
      </c>
      <c r="D86" s="38" t="s">
        <v>209</v>
      </c>
      <c r="E86" s="48">
        <v>316.111424</v>
      </c>
      <c r="F86" s="141">
        <f>502.653/60</f>
        <v>8.3775500000000012</v>
      </c>
      <c r="G86" s="141">
        <v>8.3704333333333292</v>
      </c>
      <c r="H86" s="140" t="s">
        <v>3</v>
      </c>
      <c r="I86" s="160" t="s">
        <v>3</v>
      </c>
      <c r="J86" s="160" t="s">
        <v>3</v>
      </c>
      <c r="K86" s="143" t="s">
        <v>3</v>
      </c>
      <c r="L86" s="145" t="s">
        <v>3</v>
      </c>
      <c r="M86" s="145">
        <v>5.2210000000000001</v>
      </c>
      <c r="N86" s="145">
        <v>5.1849999999999996</v>
      </c>
      <c r="O86" s="145">
        <v>5.226</v>
      </c>
      <c r="P86" s="145">
        <v>5.2060000000000004</v>
      </c>
      <c r="Q86" s="145">
        <v>5.2539999999999996</v>
      </c>
      <c r="R86" s="145">
        <v>5.3330000000000002</v>
      </c>
      <c r="S86" s="145">
        <v>5.2610000000000001</v>
      </c>
      <c r="T86" s="145">
        <v>5.2649999999999997</v>
      </c>
      <c r="U86" s="145">
        <v>5.2770000000000001</v>
      </c>
      <c r="V86" s="145">
        <v>5.2409999999999997</v>
      </c>
      <c r="W86" s="157">
        <v>5.7060000000000004</v>
      </c>
      <c r="X86" s="157">
        <v>5.6319999999999997</v>
      </c>
      <c r="Y86" s="157" t="s">
        <v>3</v>
      </c>
      <c r="Z86" s="158">
        <v>5.9039999999999999</v>
      </c>
      <c r="AA86" s="163">
        <v>5.7590000000000003</v>
      </c>
      <c r="AB86" s="163" t="s">
        <v>3</v>
      </c>
      <c r="AC86" s="159">
        <v>5.7050000000000001</v>
      </c>
      <c r="AD86" s="159" t="s">
        <v>3</v>
      </c>
      <c r="AE86" s="150" t="s">
        <v>3</v>
      </c>
      <c r="AF86" s="150" t="s">
        <v>3</v>
      </c>
      <c r="AG86" s="150" t="s">
        <v>3</v>
      </c>
      <c r="AH86" s="150" t="s">
        <v>3</v>
      </c>
      <c r="AI86" s="151">
        <v>7.0110000000000001</v>
      </c>
      <c r="AJ86" s="161">
        <v>7.0529333333333302</v>
      </c>
      <c r="AK86" s="161">
        <v>7.0634333333333297</v>
      </c>
      <c r="AL86" s="161">
        <v>6.8112000000000004</v>
      </c>
      <c r="AM86" s="161" t="s">
        <v>3</v>
      </c>
      <c r="AN86" s="152" t="s">
        <v>3</v>
      </c>
      <c r="AO86" s="152" t="s">
        <v>3</v>
      </c>
      <c r="AP86" s="152" t="s">
        <v>3</v>
      </c>
      <c r="AQ86" s="152" t="s">
        <v>3</v>
      </c>
      <c r="AR86" s="152" t="s">
        <v>3</v>
      </c>
      <c r="AS86" s="153" t="s">
        <v>3</v>
      </c>
      <c r="AT86" s="153" t="s">
        <v>3</v>
      </c>
      <c r="AU86" s="153" t="s">
        <v>3</v>
      </c>
      <c r="AV86" s="153" t="s">
        <v>3</v>
      </c>
      <c r="AW86" s="154" t="s">
        <v>3</v>
      </c>
      <c r="AX86" s="154" t="s">
        <v>3</v>
      </c>
      <c r="AY86" s="155" t="s">
        <v>3</v>
      </c>
      <c r="AZ86" s="155">
        <v>7.7563199999999997</v>
      </c>
      <c r="BA86" s="156">
        <v>4.96</v>
      </c>
    </row>
    <row r="87" spans="1:53" x14ac:dyDescent="0.25">
      <c r="A87" s="38">
        <v>84</v>
      </c>
      <c r="B87" s="139" t="s">
        <v>55</v>
      </c>
      <c r="C87" s="38" t="s">
        <v>138</v>
      </c>
      <c r="D87" s="38" t="s">
        <v>210</v>
      </c>
      <c r="E87" s="48">
        <v>436.23431599999998</v>
      </c>
      <c r="F87" s="141">
        <f>633.9/60</f>
        <v>10.565</v>
      </c>
      <c r="G87" s="141">
        <v>10.5672333333333</v>
      </c>
      <c r="H87" s="140">
        <v>9.6293333333333297</v>
      </c>
      <c r="I87" s="160" t="s">
        <v>3</v>
      </c>
      <c r="J87" s="160" t="s">
        <v>3</v>
      </c>
      <c r="K87" s="164">
        <v>35.412999999999997</v>
      </c>
      <c r="L87" s="145" t="s">
        <v>3</v>
      </c>
      <c r="M87" s="145">
        <v>11.233000000000001</v>
      </c>
      <c r="N87" s="145">
        <v>11.173999999999999</v>
      </c>
      <c r="O87" s="145">
        <v>11.19</v>
      </c>
      <c r="P87" s="145">
        <v>11.16</v>
      </c>
      <c r="Q87" s="145">
        <v>11.209</v>
      </c>
      <c r="R87" s="145">
        <v>11.340999999999999</v>
      </c>
      <c r="S87" s="145">
        <v>11.196</v>
      </c>
      <c r="T87" s="145">
        <v>11.244999999999999</v>
      </c>
      <c r="U87" s="145">
        <v>11.212999999999999</v>
      </c>
      <c r="V87" s="145">
        <v>11.233000000000001</v>
      </c>
      <c r="W87" s="157" t="s">
        <v>3</v>
      </c>
      <c r="X87" s="157">
        <v>10.957000000000001</v>
      </c>
      <c r="Y87" s="157" t="s">
        <v>3</v>
      </c>
      <c r="Z87" s="158">
        <v>11.311</v>
      </c>
      <c r="AA87" s="163">
        <v>11.353</v>
      </c>
      <c r="AB87" s="163">
        <v>11.317</v>
      </c>
      <c r="AC87" s="159">
        <v>11.010999999999999</v>
      </c>
      <c r="AD87" s="159" t="s">
        <v>3</v>
      </c>
      <c r="AE87" s="150">
        <v>9.077</v>
      </c>
      <c r="AF87" s="150">
        <v>9.0749999999999993</v>
      </c>
      <c r="AG87" s="150" t="s">
        <v>3</v>
      </c>
      <c r="AH87" s="150" t="s">
        <v>3</v>
      </c>
      <c r="AI87" s="151" t="s">
        <v>3</v>
      </c>
      <c r="AJ87" s="161">
        <v>11.2</v>
      </c>
      <c r="AK87" s="161">
        <v>11.1896166666667</v>
      </c>
      <c r="AL87" s="161">
        <v>11.205016666666699</v>
      </c>
      <c r="AM87" s="161" t="s">
        <v>3</v>
      </c>
      <c r="AN87" s="162">
        <v>10.444120407104499</v>
      </c>
      <c r="AO87" s="162" t="s">
        <v>3</v>
      </c>
      <c r="AP87" s="162" t="s">
        <v>3</v>
      </c>
      <c r="AQ87" s="162" t="s">
        <v>3</v>
      </c>
      <c r="AR87" s="162">
        <v>10.3492879867554</v>
      </c>
      <c r="AS87" s="153" t="s">
        <v>3</v>
      </c>
      <c r="AT87" s="153">
        <v>24.298999999999999</v>
      </c>
      <c r="AU87" s="153" t="s">
        <v>3</v>
      </c>
      <c r="AV87" s="153" t="s">
        <v>3</v>
      </c>
      <c r="AW87" s="154">
        <v>9.8651999999999997</v>
      </c>
      <c r="AX87" s="154" t="s">
        <v>3</v>
      </c>
      <c r="AY87" s="155">
        <v>9.86</v>
      </c>
      <c r="AZ87" s="155">
        <v>9.8654399999999995</v>
      </c>
      <c r="BA87" s="156">
        <v>8.06</v>
      </c>
    </row>
    <row r="88" spans="1:53" x14ac:dyDescent="0.25">
      <c r="A88" s="38">
        <v>85</v>
      </c>
      <c r="B88" s="139" t="s">
        <v>55</v>
      </c>
      <c r="C88" s="38" t="s">
        <v>139</v>
      </c>
      <c r="D88" s="38" t="s">
        <v>210</v>
      </c>
      <c r="E88" s="48">
        <v>434.219763</v>
      </c>
      <c r="F88" s="140" t="s">
        <v>564</v>
      </c>
      <c r="G88" s="140" t="s">
        <v>564</v>
      </c>
      <c r="H88" s="140" t="s">
        <v>564</v>
      </c>
      <c r="I88" s="160" t="s">
        <v>3</v>
      </c>
      <c r="J88" s="160" t="s">
        <v>3</v>
      </c>
      <c r="K88" s="164">
        <v>35.467833333333303</v>
      </c>
      <c r="L88" s="145" t="s">
        <v>3</v>
      </c>
      <c r="M88" s="145">
        <v>11.315</v>
      </c>
      <c r="N88" s="145">
        <v>11.273</v>
      </c>
      <c r="O88" s="145">
        <v>11.319000000000001</v>
      </c>
      <c r="P88" s="145">
        <v>11.268000000000001</v>
      </c>
      <c r="Q88" s="145">
        <v>11.272</v>
      </c>
      <c r="R88" s="145">
        <v>11.26</v>
      </c>
      <c r="S88" s="145">
        <v>11.273999999999999</v>
      </c>
      <c r="T88" s="145">
        <v>11.316000000000001</v>
      </c>
      <c r="U88" s="145">
        <v>11.317</v>
      </c>
      <c r="V88" s="145">
        <v>11.358000000000001</v>
      </c>
      <c r="W88" s="146" t="s">
        <v>564</v>
      </c>
      <c r="X88" s="146" t="s">
        <v>564</v>
      </c>
      <c r="Y88" s="146" t="s">
        <v>564</v>
      </c>
      <c r="Z88" s="158">
        <v>11.206</v>
      </c>
      <c r="AA88" s="163" t="s">
        <v>3</v>
      </c>
      <c r="AB88" s="163" t="s">
        <v>3</v>
      </c>
      <c r="AC88" s="159">
        <v>11.007</v>
      </c>
      <c r="AD88" s="159" t="s">
        <v>3</v>
      </c>
      <c r="AE88" s="150" t="s">
        <v>3</v>
      </c>
      <c r="AF88" s="150" t="s">
        <v>3</v>
      </c>
      <c r="AG88" s="150" t="s">
        <v>3</v>
      </c>
      <c r="AH88" s="150" t="s">
        <v>3</v>
      </c>
      <c r="AI88" s="151">
        <v>11.148</v>
      </c>
      <c r="AJ88" s="151" t="s">
        <v>564</v>
      </c>
      <c r="AK88" s="161">
        <v>11.13735</v>
      </c>
      <c r="AL88" s="161">
        <v>11.191183333333299</v>
      </c>
      <c r="AM88" s="151" t="s">
        <v>564</v>
      </c>
      <c r="AN88" s="152" t="s">
        <v>564</v>
      </c>
      <c r="AO88" s="152" t="s">
        <v>564</v>
      </c>
      <c r="AP88" s="152" t="s">
        <v>564</v>
      </c>
      <c r="AQ88" s="152" t="s">
        <v>564</v>
      </c>
      <c r="AR88" s="152" t="s">
        <v>564</v>
      </c>
      <c r="AS88" s="153" t="s">
        <v>3</v>
      </c>
      <c r="AT88" s="153">
        <v>24.283000000000001</v>
      </c>
      <c r="AU88" s="153" t="s">
        <v>3</v>
      </c>
      <c r="AV88" s="153" t="s">
        <v>3</v>
      </c>
      <c r="AW88" s="154" t="s">
        <v>3</v>
      </c>
      <c r="AX88" s="154" t="s">
        <v>3</v>
      </c>
      <c r="AY88" s="155" t="s">
        <v>3</v>
      </c>
      <c r="AZ88" s="155" t="s">
        <v>3</v>
      </c>
      <c r="BA88" s="156">
        <v>6.2488900000000003</v>
      </c>
    </row>
    <row r="89" spans="1:53" x14ac:dyDescent="0.25">
      <c r="A89" s="38">
        <v>86</v>
      </c>
      <c r="B89" s="139" t="s">
        <v>96</v>
      </c>
      <c r="C89" s="38" t="s">
        <v>138</v>
      </c>
      <c r="D89" s="38" t="s">
        <v>211</v>
      </c>
      <c r="E89" s="48">
        <v>267.08765199999999</v>
      </c>
      <c r="F89" s="141">
        <f>562.545/60</f>
        <v>9.37575</v>
      </c>
      <c r="G89" s="141">
        <v>9.4047166666666708</v>
      </c>
      <c r="H89" s="140" t="s">
        <v>3</v>
      </c>
      <c r="I89" s="160" t="s">
        <v>3</v>
      </c>
      <c r="J89" s="160" t="s">
        <v>3</v>
      </c>
      <c r="K89" s="143" t="s">
        <v>3</v>
      </c>
      <c r="L89" s="145" t="s">
        <v>3</v>
      </c>
      <c r="M89" s="145">
        <v>6.81</v>
      </c>
      <c r="N89" s="145">
        <v>6.7869999999999999</v>
      </c>
      <c r="O89" s="145">
        <v>6.8250000000000002</v>
      </c>
      <c r="P89" s="145">
        <v>6.806</v>
      </c>
      <c r="Q89" s="145">
        <v>6.8109999999999999</v>
      </c>
      <c r="R89" s="145">
        <v>6.907</v>
      </c>
      <c r="S89" s="145">
        <v>6.819</v>
      </c>
      <c r="T89" s="145">
        <v>6.8120000000000003</v>
      </c>
      <c r="U89" s="145">
        <v>6.8769999999999998</v>
      </c>
      <c r="V89" s="145">
        <v>6.8319999999999999</v>
      </c>
      <c r="W89" s="157" t="s">
        <v>3</v>
      </c>
      <c r="X89" s="157" t="s">
        <v>3</v>
      </c>
      <c r="Y89" s="157" t="s">
        <v>3</v>
      </c>
      <c r="Z89" s="158">
        <v>6.9909999999999997</v>
      </c>
      <c r="AA89" s="163">
        <v>7.1369999999999996</v>
      </c>
      <c r="AB89" s="163">
        <v>7.0960000000000001</v>
      </c>
      <c r="AC89" s="159">
        <v>6.734</v>
      </c>
      <c r="AD89" s="159">
        <v>6.2530000000000001</v>
      </c>
      <c r="AE89" s="150" t="s">
        <v>3</v>
      </c>
      <c r="AF89" s="150">
        <v>6.0579999999999998</v>
      </c>
      <c r="AG89" s="150" t="s">
        <v>3</v>
      </c>
      <c r="AH89" s="150">
        <v>5.9939999999999998</v>
      </c>
      <c r="AI89" s="151">
        <v>7.5830500000000001</v>
      </c>
      <c r="AJ89" s="161">
        <v>7.4614500000000001</v>
      </c>
      <c r="AK89" s="161">
        <v>7.4928833333333298</v>
      </c>
      <c r="AL89" s="161">
        <v>7.7078333333333298</v>
      </c>
      <c r="AM89" s="161" t="s">
        <v>3</v>
      </c>
      <c r="AN89" s="152" t="s">
        <v>3</v>
      </c>
      <c r="AO89" s="152" t="s">
        <v>3</v>
      </c>
      <c r="AP89" s="152" t="s">
        <v>3</v>
      </c>
      <c r="AQ89" s="152" t="s">
        <v>3</v>
      </c>
      <c r="AR89" s="152" t="s">
        <v>3</v>
      </c>
      <c r="AS89" s="153">
        <v>19.030999999999999</v>
      </c>
      <c r="AT89" s="153">
        <v>18.164999999999999</v>
      </c>
      <c r="AU89" s="153" t="s">
        <v>3</v>
      </c>
      <c r="AV89" s="153">
        <v>19.404</v>
      </c>
      <c r="AW89" s="154" t="s">
        <v>3</v>
      </c>
      <c r="AX89" s="154" t="s">
        <v>3</v>
      </c>
      <c r="AY89" s="155" t="s">
        <v>3</v>
      </c>
      <c r="AZ89" s="155" t="s">
        <v>3</v>
      </c>
      <c r="BA89" s="156" t="s">
        <v>3</v>
      </c>
    </row>
    <row r="90" spans="1:53" x14ac:dyDescent="0.25">
      <c r="A90" s="38">
        <v>87</v>
      </c>
      <c r="B90" s="139" t="s">
        <v>98</v>
      </c>
      <c r="C90" s="38" t="s">
        <v>138</v>
      </c>
      <c r="D90" s="38" t="s">
        <v>212</v>
      </c>
      <c r="E90" s="48">
        <v>172.133205</v>
      </c>
      <c r="F90" s="141">
        <f>480.219/60</f>
        <v>8.0036500000000004</v>
      </c>
      <c r="G90" s="141">
        <v>8.03393333333333</v>
      </c>
      <c r="H90" s="140" t="s">
        <v>3</v>
      </c>
      <c r="I90" s="160" t="s">
        <v>3</v>
      </c>
      <c r="J90" s="160" t="s">
        <v>3</v>
      </c>
      <c r="K90" s="143" t="s">
        <v>3</v>
      </c>
      <c r="L90" s="145" t="s">
        <v>3</v>
      </c>
      <c r="M90" s="145">
        <v>3.5230000000000001</v>
      </c>
      <c r="N90" s="145">
        <v>3.4969999999999999</v>
      </c>
      <c r="O90" s="145">
        <v>3.4950000000000001</v>
      </c>
      <c r="P90" s="145">
        <v>3.5569999999999999</v>
      </c>
      <c r="Q90" s="145">
        <v>3.5609999999999999</v>
      </c>
      <c r="R90" s="145">
        <v>3.6850000000000001</v>
      </c>
      <c r="S90" s="145">
        <v>3.5110000000000001</v>
      </c>
      <c r="T90" s="145">
        <v>3.5419999999999998</v>
      </c>
      <c r="U90" s="145">
        <v>3.5430000000000001</v>
      </c>
      <c r="V90" s="145">
        <v>3.5510000000000002</v>
      </c>
      <c r="W90" s="157">
        <v>3.5329999999999999</v>
      </c>
      <c r="X90" s="157">
        <v>3.448</v>
      </c>
      <c r="Y90" s="157" t="s">
        <v>3</v>
      </c>
      <c r="Z90" s="158">
        <v>3.7890000000000001</v>
      </c>
      <c r="AA90" s="163">
        <v>3.7709999999999999</v>
      </c>
      <c r="AB90" s="163" t="s">
        <v>3</v>
      </c>
      <c r="AC90" s="159">
        <v>3.4750000000000001</v>
      </c>
      <c r="AD90" s="159" t="s">
        <v>3</v>
      </c>
      <c r="AE90" s="150">
        <v>3.8279999999999998</v>
      </c>
      <c r="AF90" s="150">
        <v>3.8250000000000002</v>
      </c>
      <c r="AG90" s="150" t="s">
        <v>3</v>
      </c>
      <c r="AH90" s="150" t="s">
        <v>3</v>
      </c>
      <c r="AI90" s="151">
        <v>3.1467499999999999</v>
      </c>
      <c r="AJ90" s="161">
        <v>3.4610166666666702</v>
      </c>
      <c r="AK90" s="161">
        <v>3.1258666666666701</v>
      </c>
      <c r="AL90" s="161">
        <v>3.2448666666666699</v>
      </c>
      <c r="AM90" s="161" t="s">
        <v>3</v>
      </c>
      <c r="AN90" s="152" t="s">
        <v>3</v>
      </c>
      <c r="AO90" s="152" t="s">
        <v>3</v>
      </c>
      <c r="AP90" s="152" t="s">
        <v>3</v>
      </c>
      <c r="AQ90" s="152" t="s">
        <v>3</v>
      </c>
      <c r="AR90" s="152" t="s">
        <v>3</v>
      </c>
      <c r="AS90" s="153">
        <v>12.332000000000001</v>
      </c>
      <c r="AT90" s="153">
        <v>11.651999999999999</v>
      </c>
      <c r="AU90" s="153">
        <v>12.234999999999999</v>
      </c>
      <c r="AV90" s="153">
        <v>12.3</v>
      </c>
      <c r="AW90" s="154" t="s">
        <v>3</v>
      </c>
      <c r="AX90" s="154">
        <v>3.5682</v>
      </c>
      <c r="AY90" s="155" t="s">
        <v>3</v>
      </c>
      <c r="AZ90" s="155" t="s">
        <v>3</v>
      </c>
      <c r="BA90" s="156" t="s">
        <v>3</v>
      </c>
    </row>
    <row r="91" spans="1:53" x14ac:dyDescent="0.25">
      <c r="A91" s="38">
        <v>88</v>
      </c>
      <c r="B91" s="139" t="s">
        <v>100</v>
      </c>
      <c r="C91" s="38" t="s">
        <v>138</v>
      </c>
      <c r="D91" s="38" t="s">
        <v>213</v>
      </c>
      <c r="E91" s="48">
        <v>154.12264099999999</v>
      </c>
      <c r="F91" s="141">
        <f>565.959/60</f>
        <v>9.4326499999999989</v>
      </c>
      <c r="G91" s="141">
        <v>9.4330666666666705</v>
      </c>
      <c r="H91" s="140" t="s">
        <v>3</v>
      </c>
      <c r="I91" s="160" t="s">
        <v>3</v>
      </c>
      <c r="J91" s="142">
        <v>11.542999999999999</v>
      </c>
      <c r="K91" s="164">
        <v>24.481000000000002</v>
      </c>
      <c r="L91" s="145" t="s">
        <v>3</v>
      </c>
      <c r="M91" s="145">
        <v>6.609</v>
      </c>
      <c r="N91" s="145">
        <v>6.5869999999999997</v>
      </c>
      <c r="O91" s="145">
        <v>6.5819999999999999</v>
      </c>
      <c r="P91" s="145">
        <v>6.609</v>
      </c>
      <c r="Q91" s="145">
        <v>6.6120000000000001</v>
      </c>
      <c r="R91" s="145">
        <v>6.7050000000000001</v>
      </c>
      <c r="S91" s="145">
        <v>6.6210000000000004</v>
      </c>
      <c r="T91" s="145">
        <v>6.6159999999999997</v>
      </c>
      <c r="U91" s="145">
        <v>6.5819999999999999</v>
      </c>
      <c r="V91" s="145">
        <v>6.6319999999999997</v>
      </c>
      <c r="W91" s="157">
        <v>6.657</v>
      </c>
      <c r="X91" s="157">
        <v>6.5780000000000003</v>
      </c>
      <c r="Y91" s="157" t="s">
        <v>3</v>
      </c>
      <c r="Z91" s="158">
        <v>6.8810000000000002</v>
      </c>
      <c r="AA91" s="163">
        <v>6.992</v>
      </c>
      <c r="AB91" s="163" t="s">
        <v>3</v>
      </c>
      <c r="AC91" s="159">
        <v>6.6520000000000001</v>
      </c>
      <c r="AD91" s="159" t="s">
        <v>3</v>
      </c>
      <c r="AE91" s="150">
        <v>5.6779999999999999</v>
      </c>
      <c r="AF91" s="150">
        <v>6.5919999999999996</v>
      </c>
      <c r="AG91" s="150">
        <v>6.5940000000000003</v>
      </c>
      <c r="AH91" s="150">
        <v>6.577</v>
      </c>
      <c r="AI91" s="151" t="s">
        <v>3</v>
      </c>
      <c r="AJ91" s="161">
        <v>7.4824000000000002</v>
      </c>
      <c r="AK91" s="161">
        <v>7.5202666666666698</v>
      </c>
      <c r="AL91" s="161">
        <v>7.5145</v>
      </c>
      <c r="AM91" s="161" t="s">
        <v>3</v>
      </c>
      <c r="AN91" s="152" t="s">
        <v>3</v>
      </c>
      <c r="AO91" s="152" t="s">
        <v>3</v>
      </c>
      <c r="AP91" s="152" t="s">
        <v>3</v>
      </c>
      <c r="AQ91" s="152" t="s">
        <v>3</v>
      </c>
      <c r="AR91" s="152" t="s">
        <v>3</v>
      </c>
      <c r="AS91" s="153">
        <v>18.506</v>
      </c>
      <c r="AT91" s="153">
        <v>17.585999999999999</v>
      </c>
      <c r="AU91" s="153">
        <v>18.376000000000001</v>
      </c>
      <c r="AV91" s="153">
        <v>18.824999999999999</v>
      </c>
      <c r="AW91" s="154" t="s">
        <v>3</v>
      </c>
      <c r="AX91" s="154" t="s">
        <v>3</v>
      </c>
      <c r="AY91" s="155" t="s">
        <v>3</v>
      </c>
      <c r="AZ91" s="155">
        <v>7.2561999999999998</v>
      </c>
      <c r="BA91" s="156">
        <v>5.91</v>
      </c>
    </row>
    <row r="92" spans="1:53" x14ac:dyDescent="0.25">
      <c r="A92" s="38">
        <v>89</v>
      </c>
      <c r="B92" s="139" t="s">
        <v>101</v>
      </c>
      <c r="C92" s="38" t="s">
        <v>138</v>
      </c>
      <c r="D92" s="38" t="s">
        <v>214</v>
      </c>
      <c r="E92" s="48">
        <v>273.18490600000001</v>
      </c>
      <c r="F92" s="141">
        <f>768.622/60</f>
        <v>12.810366666666665</v>
      </c>
      <c r="G92" s="141">
        <v>12.797166666666699</v>
      </c>
      <c r="H92" s="140">
        <v>12.823</v>
      </c>
      <c r="I92" s="160" t="s">
        <v>3</v>
      </c>
      <c r="J92" s="160" t="s">
        <v>3</v>
      </c>
      <c r="K92" s="143" t="s">
        <v>3</v>
      </c>
      <c r="L92" s="145" t="s">
        <v>3</v>
      </c>
      <c r="M92" s="145">
        <v>14.77</v>
      </c>
      <c r="N92" s="145">
        <v>14.736000000000001</v>
      </c>
      <c r="O92" s="145">
        <v>14.744999999999999</v>
      </c>
      <c r="P92" s="145">
        <v>14.775</v>
      </c>
      <c r="Q92" s="145">
        <v>14.77</v>
      </c>
      <c r="R92" s="145">
        <v>14.919</v>
      </c>
      <c r="S92" s="145">
        <v>14.773</v>
      </c>
      <c r="T92" s="145">
        <v>14.792</v>
      </c>
      <c r="U92" s="145">
        <v>14.769</v>
      </c>
      <c r="V92" s="145">
        <v>14.794</v>
      </c>
      <c r="W92" s="157">
        <v>14.637</v>
      </c>
      <c r="X92" s="157">
        <v>14.535</v>
      </c>
      <c r="Y92" s="157" t="s">
        <v>3</v>
      </c>
      <c r="Z92" s="158" t="s">
        <v>3</v>
      </c>
      <c r="AA92" s="163" t="s">
        <v>3</v>
      </c>
      <c r="AB92" s="163" t="s">
        <v>3</v>
      </c>
      <c r="AC92" s="159">
        <v>14.624000000000001</v>
      </c>
      <c r="AD92" s="159" t="s">
        <v>3</v>
      </c>
      <c r="AE92" s="150">
        <v>11.977</v>
      </c>
      <c r="AF92" s="150">
        <v>11.991</v>
      </c>
      <c r="AG92" s="150">
        <v>11.944000000000001</v>
      </c>
      <c r="AH92" s="150">
        <v>11.944000000000001</v>
      </c>
      <c r="AI92" s="151">
        <v>13.5156333333333</v>
      </c>
      <c r="AJ92" s="161">
        <v>13.515650000000001</v>
      </c>
      <c r="AK92" s="161">
        <v>13.526249999999999</v>
      </c>
      <c r="AL92" s="161">
        <v>13.501799999999999</v>
      </c>
      <c r="AM92" s="161">
        <v>13.347250000000001</v>
      </c>
      <c r="AN92" s="152" t="s">
        <v>3</v>
      </c>
      <c r="AO92" s="152" t="s">
        <v>3</v>
      </c>
      <c r="AP92" s="152" t="s">
        <v>3</v>
      </c>
      <c r="AQ92" s="152" t="s">
        <v>3</v>
      </c>
      <c r="AR92" s="152" t="s">
        <v>3</v>
      </c>
      <c r="AS92" s="153" t="s">
        <v>3</v>
      </c>
      <c r="AT92" s="153">
        <v>31.611000000000001</v>
      </c>
      <c r="AU92" s="153">
        <v>32.823</v>
      </c>
      <c r="AV92" s="153">
        <v>33.302999999999997</v>
      </c>
      <c r="AW92" s="154" t="s">
        <v>3</v>
      </c>
      <c r="AX92" s="154" t="s">
        <v>3</v>
      </c>
      <c r="AY92" s="155">
        <v>10.51371</v>
      </c>
      <c r="AZ92" s="155">
        <v>10.5084</v>
      </c>
      <c r="BA92" s="156">
        <v>9.5299999999999994</v>
      </c>
    </row>
    <row r="93" spans="1:53" x14ac:dyDescent="0.25">
      <c r="A93" s="38">
        <v>90</v>
      </c>
      <c r="B93" s="139" t="s">
        <v>102</v>
      </c>
      <c r="C93" s="38" t="s">
        <v>138</v>
      </c>
      <c r="D93" s="38" t="s">
        <v>215</v>
      </c>
      <c r="E93" s="48">
        <v>103.061437</v>
      </c>
      <c r="F93" s="140" t="s">
        <v>3</v>
      </c>
      <c r="G93" s="140" t="s">
        <v>3</v>
      </c>
      <c r="H93" s="140" t="s">
        <v>3</v>
      </c>
      <c r="I93" s="160" t="s">
        <v>3</v>
      </c>
      <c r="J93" s="160" t="s">
        <v>3</v>
      </c>
      <c r="K93" s="143" t="s">
        <v>3</v>
      </c>
      <c r="L93" s="145" t="s">
        <v>3</v>
      </c>
      <c r="M93" s="145" t="s">
        <v>3</v>
      </c>
      <c r="N93" s="145" t="s">
        <v>3</v>
      </c>
      <c r="O93" s="145" t="s">
        <v>3</v>
      </c>
      <c r="P93" s="145" t="s">
        <v>3</v>
      </c>
      <c r="Q93" s="145" t="s">
        <v>3</v>
      </c>
      <c r="R93" s="145" t="s">
        <v>3</v>
      </c>
      <c r="S93" s="145" t="s">
        <v>3</v>
      </c>
      <c r="T93" s="145" t="s">
        <v>3</v>
      </c>
      <c r="U93" s="145" t="s">
        <v>3</v>
      </c>
      <c r="V93" s="145" t="s">
        <v>3</v>
      </c>
      <c r="W93" s="157" t="s">
        <v>3</v>
      </c>
      <c r="X93" s="157" t="s">
        <v>3</v>
      </c>
      <c r="Y93" s="157" t="s">
        <v>3</v>
      </c>
      <c r="Z93" s="158" t="s">
        <v>3</v>
      </c>
      <c r="AA93" s="163">
        <v>0.96899999999999997</v>
      </c>
      <c r="AB93" s="163" t="s">
        <v>3</v>
      </c>
      <c r="AC93" s="159" t="s">
        <v>3</v>
      </c>
      <c r="AD93" s="159" t="s">
        <v>3</v>
      </c>
      <c r="AE93" s="150">
        <v>1.345</v>
      </c>
      <c r="AF93" s="150">
        <v>1.375</v>
      </c>
      <c r="AG93" s="150" t="s">
        <v>3</v>
      </c>
      <c r="AH93" s="150" t="s">
        <v>3</v>
      </c>
      <c r="AI93" s="151" t="s">
        <v>3</v>
      </c>
      <c r="AJ93" s="161">
        <v>0.85206666666666697</v>
      </c>
      <c r="AK93" s="161">
        <v>0.87303333333333299</v>
      </c>
      <c r="AL93" s="151" t="s">
        <v>3</v>
      </c>
      <c r="AM93" s="151" t="s">
        <v>3</v>
      </c>
      <c r="AN93" s="152" t="s">
        <v>3</v>
      </c>
      <c r="AO93" s="152" t="s">
        <v>3</v>
      </c>
      <c r="AP93" s="152" t="s">
        <v>3</v>
      </c>
      <c r="AQ93" s="152" t="s">
        <v>3</v>
      </c>
      <c r="AR93" s="152" t="s">
        <v>3</v>
      </c>
      <c r="AS93" s="153" t="s">
        <v>3</v>
      </c>
      <c r="AT93" s="153" t="s">
        <v>3</v>
      </c>
      <c r="AU93" s="153" t="s">
        <v>3</v>
      </c>
      <c r="AV93" s="153" t="s">
        <v>3</v>
      </c>
      <c r="AW93" s="154" t="s">
        <v>3</v>
      </c>
      <c r="AX93" s="154" t="s">
        <v>3</v>
      </c>
      <c r="AY93" s="155" t="s">
        <v>3</v>
      </c>
      <c r="AZ93" s="155" t="s">
        <v>3</v>
      </c>
      <c r="BA93" s="156" t="s">
        <v>3</v>
      </c>
    </row>
    <row r="94" spans="1:53" x14ac:dyDescent="0.25">
      <c r="A94" s="38">
        <v>91</v>
      </c>
      <c r="B94" s="139" t="s">
        <v>103</v>
      </c>
      <c r="C94" s="38" t="s">
        <v>138</v>
      </c>
      <c r="D94" s="38" t="s">
        <v>216</v>
      </c>
      <c r="E94" s="48">
        <v>447.25030099999998</v>
      </c>
      <c r="F94" s="141">
        <f>609.787/60</f>
        <v>10.163116666666667</v>
      </c>
      <c r="G94" s="141">
        <v>10.148300000000001</v>
      </c>
      <c r="H94" s="140" t="s">
        <v>3</v>
      </c>
      <c r="I94" s="160" t="s">
        <v>3</v>
      </c>
      <c r="J94" s="160" t="s">
        <v>3</v>
      </c>
      <c r="K94" s="164">
        <v>31.469000000000001</v>
      </c>
      <c r="L94" s="145" t="s">
        <v>3</v>
      </c>
      <c r="M94" s="145">
        <v>9.3670000000000009</v>
      </c>
      <c r="N94" s="145">
        <v>9.3019999999999996</v>
      </c>
      <c r="O94" s="145">
        <v>9.3789999999999996</v>
      </c>
      <c r="P94" s="145">
        <v>9.3919999999999995</v>
      </c>
      <c r="Q94" s="145">
        <v>9.3770000000000007</v>
      </c>
      <c r="R94" s="145" t="s">
        <v>3</v>
      </c>
      <c r="S94" s="145">
        <v>9.3390000000000004</v>
      </c>
      <c r="T94" s="145">
        <v>9.4309999999999992</v>
      </c>
      <c r="U94" s="145">
        <v>9.3819999999999997</v>
      </c>
      <c r="V94" s="145" t="s">
        <v>3</v>
      </c>
      <c r="W94" s="157">
        <v>9.2240000000000002</v>
      </c>
      <c r="X94" s="157">
        <v>9.1590000000000007</v>
      </c>
      <c r="Y94" s="157" t="s">
        <v>3</v>
      </c>
      <c r="Z94" s="158">
        <v>9.5500000000000007</v>
      </c>
      <c r="AA94" s="163">
        <v>9.5660000000000007</v>
      </c>
      <c r="AB94" s="163">
        <v>9.5340000000000007</v>
      </c>
      <c r="AC94" s="159">
        <v>9.1980000000000004</v>
      </c>
      <c r="AD94" s="159">
        <v>9.6240000000000006</v>
      </c>
      <c r="AE94" s="150">
        <v>8.1609999999999996</v>
      </c>
      <c r="AF94" s="150">
        <v>8.1750000000000007</v>
      </c>
      <c r="AG94" s="150">
        <v>8.1270000000000007</v>
      </c>
      <c r="AH94" s="150">
        <v>8.1769999999999996</v>
      </c>
      <c r="AI94" s="151">
        <v>10.055816666666701</v>
      </c>
      <c r="AJ94" s="161">
        <v>10.02445</v>
      </c>
      <c r="AK94" s="161">
        <v>10.0559166666667</v>
      </c>
      <c r="AL94" s="161">
        <v>10.073650000000001</v>
      </c>
      <c r="AM94" s="161" t="s">
        <v>3</v>
      </c>
      <c r="AN94" s="152" t="s">
        <v>3</v>
      </c>
      <c r="AO94" s="152" t="s">
        <v>3</v>
      </c>
      <c r="AP94" s="152" t="s">
        <v>3</v>
      </c>
      <c r="AQ94" s="152" t="s">
        <v>3</v>
      </c>
      <c r="AR94" s="152" t="s">
        <v>3</v>
      </c>
      <c r="AS94" s="153">
        <v>23.363</v>
      </c>
      <c r="AT94" s="153">
        <v>22.346</v>
      </c>
      <c r="AU94" s="153" t="s">
        <v>3</v>
      </c>
      <c r="AV94" s="153">
        <v>23.661999999999999</v>
      </c>
      <c r="AW94" s="154" t="s">
        <v>3</v>
      </c>
      <c r="AX94" s="154" t="s">
        <v>3</v>
      </c>
      <c r="AY94" s="155">
        <v>9.4543900000000001</v>
      </c>
      <c r="AZ94" s="155" t="s">
        <v>3</v>
      </c>
      <c r="BA94" s="156">
        <v>7.42</v>
      </c>
    </row>
    <row r="95" spans="1:53" x14ac:dyDescent="0.25">
      <c r="A95" s="38">
        <v>92</v>
      </c>
      <c r="B95" s="139" t="s">
        <v>106</v>
      </c>
      <c r="C95" s="38" t="s">
        <v>138</v>
      </c>
      <c r="D95" s="38" t="s">
        <v>217</v>
      </c>
      <c r="E95" s="48">
        <v>166.08625499999999</v>
      </c>
      <c r="F95" s="140" t="s">
        <v>3</v>
      </c>
      <c r="G95" s="140" t="s">
        <v>3</v>
      </c>
      <c r="H95" s="140" t="s">
        <v>3</v>
      </c>
      <c r="I95" s="160" t="s">
        <v>3</v>
      </c>
      <c r="J95" s="160" t="s">
        <v>3</v>
      </c>
      <c r="K95" s="143" t="s">
        <v>3</v>
      </c>
      <c r="L95" s="145">
        <v>1.1910000000000001</v>
      </c>
      <c r="M95" s="145">
        <v>1.34</v>
      </c>
      <c r="N95" s="145">
        <v>1.3380000000000001</v>
      </c>
      <c r="O95" s="145">
        <v>1.333</v>
      </c>
      <c r="P95" s="145">
        <v>1.284</v>
      </c>
      <c r="Q95" s="145">
        <v>1.387</v>
      </c>
      <c r="R95" s="145">
        <v>1.488</v>
      </c>
      <c r="S95" s="145">
        <v>1.288</v>
      </c>
      <c r="T95" s="145">
        <v>1.29</v>
      </c>
      <c r="U95" s="145">
        <v>1.286</v>
      </c>
      <c r="V95" s="145">
        <v>1.333</v>
      </c>
      <c r="W95" s="157" t="s">
        <v>3</v>
      </c>
      <c r="X95" s="157" t="s">
        <v>3</v>
      </c>
      <c r="Y95" s="157" t="s">
        <v>3</v>
      </c>
      <c r="Z95" s="158" t="s">
        <v>3</v>
      </c>
      <c r="AA95" s="163" t="s">
        <v>3</v>
      </c>
      <c r="AB95" s="163" t="s">
        <v>3</v>
      </c>
      <c r="AC95" s="159" t="s">
        <v>3</v>
      </c>
      <c r="AD95" s="159" t="s">
        <v>3</v>
      </c>
      <c r="AE95" s="150">
        <v>3.0779999999999998</v>
      </c>
      <c r="AF95" s="150" t="s">
        <v>3</v>
      </c>
      <c r="AG95" s="150">
        <v>3.0110000000000001</v>
      </c>
      <c r="AH95" s="150">
        <v>3.0609999999999999</v>
      </c>
      <c r="AI95" s="151">
        <v>2.0340500000000001</v>
      </c>
      <c r="AJ95" s="161">
        <v>1.996</v>
      </c>
      <c r="AK95" s="151" t="s">
        <v>3</v>
      </c>
      <c r="AL95" s="161">
        <v>2.15493333333333</v>
      </c>
      <c r="AM95" s="161" t="s">
        <v>3</v>
      </c>
      <c r="AN95" s="152" t="s">
        <v>3</v>
      </c>
      <c r="AO95" s="152" t="s">
        <v>3</v>
      </c>
      <c r="AP95" s="152" t="s">
        <v>3</v>
      </c>
      <c r="AQ95" s="152" t="s">
        <v>3</v>
      </c>
      <c r="AR95" s="152" t="s">
        <v>3</v>
      </c>
      <c r="AS95" s="153" t="s">
        <v>3</v>
      </c>
      <c r="AT95" s="153">
        <v>9.7200000000000006</v>
      </c>
      <c r="AU95" s="153">
        <v>10.279</v>
      </c>
      <c r="AV95" s="153" t="s">
        <v>3</v>
      </c>
      <c r="AW95" s="154">
        <v>1.364614</v>
      </c>
      <c r="AX95" s="154" t="s">
        <v>3</v>
      </c>
      <c r="AY95" s="155">
        <v>1.3685</v>
      </c>
      <c r="AZ95" s="155" t="s">
        <v>3</v>
      </c>
      <c r="BA95" s="156" t="s">
        <v>3</v>
      </c>
    </row>
    <row r="96" spans="1:53" x14ac:dyDescent="0.25">
      <c r="A96" s="38">
        <v>93</v>
      </c>
      <c r="B96" s="139" t="s">
        <v>2</v>
      </c>
      <c r="C96" s="38" t="s">
        <v>138</v>
      </c>
      <c r="D96" s="38" t="s">
        <v>218</v>
      </c>
      <c r="E96" s="48">
        <v>246.92272199999999</v>
      </c>
      <c r="F96" s="140" t="s">
        <v>3</v>
      </c>
      <c r="G96" s="140" t="s">
        <v>3</v>
      </c>
      <c r="H96" s="140" t="s">
        <v>3</v>
      </c>
      <c r="I96" s="160" t="s">
        <v>3</v>
      </c>
      <c r="J96" s="160" t="s">
        <v>3</v>
      </c>
      <c r="K96" s="143" t="s">
        <v>3</v>
      </c>
      <c r="L96" s="145" t="s">
        <v>3</v>
      </c>
      <c r="M96" s="145" t="s">
        <v>3</v>
      </c>
      <c r="N96" s="145" t="s">
        <v>3</v>
      </c>
      <c r="O96" s="145" t="s">
        <v>3</v>
      </c>
      <c r="P96" s="145" t="s">
        <v>3</v>
      </c>
      <c r="Q96" s="145" t="s">
        <v>3</v>
      </c>
      <c r="R96" s="145" t="s">
        <v>3</v>
      </c>
      <c r="S96" s="145" t="s">
        <v>3</v>
      </c>
      <c r="T96" s="145" t="s">
        <v>3</v>
      </c>
      <c r="U96" s="145" t="s">
        <v>3</v>
      </c>
      <c r="V96" s="145" t="s">
        <v>3</v>
      </c>
      <c r="W96" s="157" t="s">
        <v>3</v>
      </c>
      <c r="X96" s="157" t="s">
        <v>3</v>
      </c>
      <c r="Y96" s="157" t="s">
        <v>3</v>
      </c>
      <c r="Z96" s="158" t="s">
        <v>3</v>
      </c>
      <c r="AA96" s="163" t="s">
        <v>3</v>
      </c>
      <c r="AB96" s="163" t="s">
        <v>3</v>
      </c>
      <c r="AC96" s="159" t="s">
        <v>3</v>
      </c>
      <c r="AD96" s="159" t="s">
        <v>3</v>
      </c>
      <c r="AE96" s="150" t="s">
        <v>3</v>
      </c>
      <c r="AF96" s="150" t="s">
        <v>3</v>
      </c>
      <c r="AG96" s="150" t="s">
        <v>3</v>
      </c>
      <c r="AH96" s="150" t="s">
        <v>3</v>
      </c>
      <c r="AI96" s="151">
        <v>0.74731666666666696</v>
      </c>
      <c r="AJ96" s="151" t="s">
        <v>3</v>
      </c>
      <c r="AK96" s="161">
        <v>0.74733333333333296</v>
      </c>
      <c r="AL96" s="151" t="s">
        <v>3</v>
      </c>
      <c r="AM96" s="151" t="s">
        <v>3</v>
      </c>
      <c r="AN96" s="152" t="s">
        <v>3</v>
      </c>
      <c r="AO96" s="152" t="s">
        <v>3</v>
      </c>
      <c r="AP96" s="152" t="s">
        <v>3</v>
      </c>
      <c r="AQ96" s="152" t="s">
        <v>3</v>
      </c>
      <c r="AR96" s="152" t="s">
        <v>3</v>
      </c>
      <c r="AS96" s="153" t="s">
        <v>3</v>
      </c>
      <c r="AT96" s="153" t="s">
        <v>3</v>
      </c>
      <c r="AU96" s="153" t="s">
        <v>3</v>
      </c>
      <c r="AV96" s="153" t="s">
        <v>3</v>
      </c>
      <c r="AW96" s="154" t="s">
        <v>3</v>
      </c>
      <c r="AX96" s="154" t="s">
        <v>3</v>
      </c>
      <c r="AY96" s="155" t="s">
        <v>3</v>
      </c>
      <c r="AZ96" s="155" t="s">
        <v>3</v>
      </c>
      <c r="BA96" s="156" t="s">
        <v>3</v>
      </c>
    </row>
    <row r="97" spans="1:53" x14ac:dyDescent="0.25">
      <c r="A97" s="38">
        <v>94</v>
      </c>
      <c r="B97" s="139" t="s">
        <v>2</v>
      </c>
      <c r="C97" s="38" t="s">
        <v>139</v>
      </c>
      <c r="D97" s="38" t="s">
        <v>218</v>
      </c>
      <c r="E97" s="48">
        <v>244.90816899999999</v>
      </c>
      <c r="F97" s="140" t="s">
        <v>564</v>
      </c>
      <c r="G97" s="140" t="s">
        <v>564</v>
      </c>
      <c r="H97" s="140" t="s">
        <v>564</v>
      </c>
      <c r="I97" s="160" t="s">
        <v>3</v>
      </c>
      <c r="J97" s="160" t="s">
        <v>3</v>
      </c>
      <c r="K97" s="143" t="s">
        <v>3</v>
      </c>
      <c r="L97" s="145" t="s">
        <v>3</v>
      </c>
      <c r="M97" s="145">
        <v>10.968999999999999</v>
      </c>
      <c r="N97" s="145">
        <v>10.978</v>
      </c>
      <c r="O97" s="145">
        <v>10.923999999999999</v>
      </c>
      <c r="P97" s="145">
        <v>10.96</v>
      </c>
      <c r="Q97" s="145">
        <v>10.917999999999999</v>
      </c>
      <c r="R97" s="145">
        <v>10.912000000000001</v>
      </c>
      <c r="S97" s="145">
        <v>10.929</v>
      </c>
      <c r="T97" s="145">
        <v>10.858000000000001</v>
      </c>
      <c r="U97" s="145">
        <v>10.78</v>
      </c>
      <c r="V97" s="145">
        <v>10.956</v>
      </c>
      <c r="W97" s="146" t="s">
        <v>564</v>
      </c>
      <c r="X97" s="146" t="s">
        <v>564</v>
      </c>
      <c r="Y97" s="146" t="s">
        <v>564</v>
      </c>
      <c r="Z97" s="158" t="s">
        <v>3</v>
      </c>
      <c r="AA97" s="163">
        <v>9.8140000000000001</v>
      </c>
      <c r="AB97" s="163" t="s">
        <v>3</v>
      </c>
      <c r="AC97" s="159" t="s">
        <v>3</v>
      </c>
      <c r="AD97" s="159" t="s">
        <v>3</v>
      </c>
      <c r="AE97" s="150" t="s">
        <v>3</v>
      </c>
      <c r="AF97" s="150" t="s">
        <v>3</v>
      </c>
      <c r="AG97" s="150" t="s">
        <v>3</v>
      </c>
      <c r="AH97" s="150" t="s">
        <v>3</v>
      </c>
      <c r="AI97" s="151" t="s">
        <v>3</v>
      </c>
      <c r="AJ97" s="151" t="s">
        <v>564</v>
      </c>
      <c r="AK97" s="151" t="s">
        <v>3</v>
      </c>
      <c r="AL97" s="151" t="s">
        <v>3</v>
      </c>
      <c r="AM97" s="151" t="s">
        <v>564</v>
      </c>
      <c r="AN97" s="152" t="s">
        <v>564</v>
      </c>
      <c r="AO97" s="152" t="s">
        <v>564</v>
      </c>
      <c r="AP97" s="152" t="s">
        <v>564</v>
      </c>
      <c r="AQ97" s="152" t="s">
        <v>564</v>
      </c>
      <c r="AR97" s="152" t="s">
        <v>564</v>
      </c>
      <c r="AS97" s="153" t="s">
        <v>3</v>
      </c>
      <c r="AT97" s="153" t="s">
        <v>3</v>
      </c>
      <c r="AU97" s="153" t="s">
        <v>3</v>
      </c>
      <c r="AV97" s="153" t="s">
        <v>3</v>
      </c>
      <c r="AW97" s="154" t="s">
        <v>3</v>
      </c>
      <c r="AX97" s="154" t="s">
        <v>3</v>
      </c>
      <c r="AY97" s="155" t="s">
        <v>3</v>
      </c>
      <c r="AZ97" s="155" t="s">
        <v>3</v>
      </c>
      <c r="BA97" s="156">
        <v>5.2904900000000001</v>
      </c>
    </row>
    <row r="98" spans="1:53" x14ac:dyDescent="0.25">
      <c r="A98" s="38">
        <v>95</v>
      </c>
      <c r="B98" s="139" t="s">
        <v>51</v>
      </c>
      <c r="C98" s="38" t="s">
        <v>139</v>
      </c>
      <c r="D98" s="38" t="s">
        <v>219</v>
      </c>
      <c r="E98" s="48">
        <v>498.93021800000002</v>
      </c>
      <c r="F98" s="140" t="s">
        <v>564</v>
      </c>
      <c r="G98" s="140" t="s">
        <v>564</v>
      </c>
      <c r="H98" s="140" t="s">
        <v>564</v>
      </c>
      <c r="I98" s="160" t="s">
        <v>3</v>
      </c>
      <c r="J98" s="160" t="s">
        <v>3</v>
      </c>
      <c r="K98" s="143" t="s">
        <v>3</v>
      </c>
      <c r="L98" s="145" t="s">
        <v>3</v>
      </c>
      <c r="M98" s="145">
        <v>15.566000000000001</v>
      </c>
      <c r="N98" s="145">
        <v>15.554</v>
      </c>
      <c r="O98" s="145">
        <v>15.542</v>
      </c>
      <c r="P98" s="145">
        <v>15.529</v>
      </c>
      <c r="Q98" s="145">
        <v>15.55</v>
      </c>
      <c r="R98" s="145">
        <v>15.526</v>
      </c>
      <c r="S98" s="145">
        <v>15.554</v>
      </c>
      <c r="T98" s="145">
        <v>15.492000000000001</v>
      </c>
      <c r="U98" s="145">
        <v>15.548999999999999</v>
      </c>
      <c r="V98" s="145">
        <v>15.55</v>
      </c>
      <c r="W98" s="146" t="s">
        <v>564</v>
      </c>
      <c r="X98" s="146" t="s">
        <v>564</v>
      </c>
      <c r="Y98" s="146" t="s">
        <v>564</v>
      </c>
      <c r="Z98" s="158">
        <v>14.355</v>
      </c>
      <c r="AA98" s="163">
        <v>14.484</v>
      </c>
      <c r="AB98" s="163" t="s">
        <v>3</v>
      </c>
      <c r="AC98" s="159">
        <v>14.254</v>
      </c>
      <c r="AD98" s="159" t="s">
        <v>3</v>
      </c>
      <c r="AE98" s="150">
        <v>10.007</v>
      </c>
      <c r="AF98" s="150">
        <v>10.007</v>
      </c>
      <c r="AG98" s="150">
        <v>10.257</v>
      </c>
      <c r="AH98" s="150" t="s">
        <v>3</v>
      </c>
      <c r="AI98" s="151" t="s">
        <v>3</v>
      </c>
      <c r="AJ98" s="151" t="s">
        <v>564</v>
      </c>
      <c r="AK98" s="151" t="s">
        <v>3</v>
      </c>
      <c r="AL98" s="151" t="s">
        <v>3</v>
      </c>
      <c r="AM98" s="151" t="s">
        <v>564</v>
      </c>
      <c r="AN98" s="152" t="s">
        <v>564</v>
      </c>
      <c r="AO98" s="152" t="s">
        <v>564</v>
      </c>
      <c r="AP98" s="152" t="s">
        <v>564</v>
      </c>
      <c r="AQ98" s="152" t="s">
        <v>564</v>
      </c>
      <c r="AR98" s="152" t="s">
        <v>564</v>
      </c>
      <c r="AS98" s="153" t="s">
        <v>3</v>
      </c>
      <c r="AT98" s="153" t="s">
        <v>3</v>
      </c>
      <c r="AU98" s="153" t="s">
        <v>3</v>
      </c>
      <c r="AV98" s="153" t="s">
        <v>3</v>
      </c>
      <c r="AW98" s="154" t="s">
        <v>3</v>
      </c>
      <c r="AX98" s="154" t="s">
        <v>3</v>
      </c>
      <c r="AY98" s="155" t="s">
        <v>3</v>
      </c>
      <c r="AZ98" s="155" t="s">
        <v>3</v>
      </c>
      <c r="BA98" s="156">
        <v>6.7533700000000003</v>
      </c>
    </row>
    <row r="99" spans="1:53" x14ac:dyDescent="0.25">
      <c r="A99" s="38">
        <v>96</v>
      </c>
      <c r="B99" s="139" t="s">
        <v>23</v>
      </c>
      <c r="C99" s="38" t="s">
        <v>138</v>
      </c>
      <c r="D99" s="38" t="s">
        <v>220</v>
      </c>
      <c r="E99" s="48">
        <v>416.92160799999999</v>
      </c>
      <c r="F99" s="140" t="s">
        <v>3</v>
      </c>
      <c r="G99" s="140" t="s">
        <v>3</v>
      </c>
      <c r="H99" s="140" t="s">
        <v>3</v>
      </c>
      <c r="I99" s="160" t="s">
        <v>3</v>
      </c>
      <c r="J99" s="160" t="s">
        <v>3</v>
      </c>
      <c r="K99" s="143" t="s">
        <v>3</v>
      </c>
      <c r="L99" s="145" t="s">
        <v>3</v>
      </c>
      <c r="M99" s="145" t="s">
        <v>3</v>
      </c>
      <c r="N99" s="145" t="s">
        <v>3</v>
      </c>
      <c r="O99" s="145" t="s">
        <v>3</v>
      </c>
      <c r="P99" s="145" t="s">
        <v>3</v>
      </c>
      <c r="Q99" s="145" t="s">
        <v>3</v>
      </c>
      <c r="R99" s="145" t="s">
        <v>3</v>
      </c>
      <c r="S99" s="145" t="s">
        <v>3</v>
      </c>
      <c r="T99" s="145" t="s">
        <v>3</v>
      </c>
      <c r="U99" s="145" t="s">
        <v>3</v>
      </c>
      <c r="V99" s="145" t="s">
        <v>3</v>
      </c>
      <c r="W99" s="157" t="s">
        <v>3</v>
      </c>
      <c r="X99" s="157" t="s">
        <v>3</v>
      </c>
      <c r="Y99" s="157" t="s">
        <v>3</v>
      </c>
      <c r="Z99" s="158" t="s">
        <v>3</v>
      </c>
      <c r="AA99" s="163" t="s">
        <v>3</v>
      </c>
      <c r="AB99" s="163" t="s">
        <v>3</v>
      </c>
      <c r="AC99" s="159" t="s">
        <v>3</v>
      </c>
      <c r="AD99" s="159" t="s">
        <v>3</v>
      </c>
      <c r="AE99" s="150" t="s">
        <v>3</v>
      </c>
      <c r="AF99" s="150" t="s">
        <v>3</v>
      </c>
      <c r="AG99" s="150" t="s">
        <v>3</v>
      </c>
      <c r="AH99" s="150" t="s">
        <v>3</v>
      </c>
      <c r="AI99" s="151" t="s">
        <v>3</v>
      </c>
      <c r="AJ99" s="151" t="s">
        <v>3</v>
      </c>
      <c r="AK99" s="151" t="s">
        <v>3</v>
      </c>
      <c r="AL99" s="151" t="s">
        <v>3</v>
      </c>
      <c r="AM99" s="151" t="s">
        <v>3</v>
      </c>
      <c r="AN99" s="152" t="s">
        <v>3</v>
      </c>
      <c r="AO99" s="152" t="s">
        <v>3</v>
      </c>
      <c r="AP99" s="152" t="s">
        <v>3</v>
      </c>
      <c r="AQ99" s="152" t="s">
        <v>3</v>
      </c>
      <c r="AR99" s="152" t="s">
        <v>3</v>
      </c>
      <c r="AS99" s="153" t="s">
        <v>3</v>
      </c>
      <c r="AT99" s="153" t="s">
        <v>3</v>
      </c>
      <c r="AU99" s="153" t="s">
        <v>3</v>
      </c>
      <c r="AV99" s="153" t="s">
        <v>3</v>
      </c>
      <c r="AW99" s="154" t="s">
        <v>3</v>
      </c>
      <c r="AX99" s="154" t="s">
        <v>3</v>
      </c>
      <c r="AY99" s="155" t="s">
        <v>3</v>
      </c>
      <c r="AZ99" s="155" t="s">
        <v>3</v>
      </c>
      <c r="BA99" s="156" t="s">
        <v>3</v>
      </c>
    </row>
    <row r="100" spans="1:53" x14ac:dyDescent="0.25">
      <c r="A100" s="38">
        <v>97</v>
      </c>
      <c r="B100" s="139" t="s">
        <v>23</v>
      </c>
      <c r="C100" s="38" t="s">
        <v>139</v>
      </c>
      <c r="D100" s="38" t="s">
        <v>220</v>
      </c>
      <c r="E100" s="48">
        <v>414.90705500000001</v>
      </c>
      <c r="F100" s="140" t="s">
        <v>3</v>
      </c>
      <c r="G100" s="140" t="s">
        <v>3</v>
      </c>
      <c r="H100" s="140" t="s">
        <v>3</v>
      </c>
      <c r="I100" s="160" t="s">
        <v>3</v>
      </c>
      <c r="J100" s="160" t="s">
        <v>3</v>
      </c>
      <c r="K100" s="143" t="s">
        <v>3</v>
      </c>
      <c r="L100" s="145" t="s">
        <v>3</v>
      </c>
      <c r="M100" s="145" t="s">
        <v>3</v>
      </c>
      <c r="N100" s="145" t="s">
        <v>3</v>
      </c>
      <c r="O100" s="145" t="s">
        <v>3</v>
      </c>
      <c r="P100" s="145" t="s">
        <v>3</v>
      </c>
      <c r="Q100" s="145" t="s">
        <v>3</v>
      </c>
      <c r="R100" s="145" t="s">
        <v>3</v>
      </c>
      <c r="S100" s="145" t="s">
        <v>3</v>
      </c>
      <c r="T100" s="145" t="s">
        <v>3</v>
      </c>
      <c r="U100" s="145" t="s">
        <v>3</v>
      </c>
      <c r="V100" s="145" t="s">
        <v>3</v>
      </c>
      <c r="W100" s="146" t="s">
        <v>564</v>
      </c>
      <c r="X100" s="146" t="s">
        <v>564</v>
      </c>
      <c r="Y100" s="146" t="s">
        <v>564</v>
      </c>
      <c r="Z100" s="158" t="s">
        <v>3</v>
      </c>
      <c r="AA100" s="163" t="s">
        <v>3</v>
      </c>
      <c r="AB100" s="163" t="s">
        <v>3</v>
      </c>
      <c r="AC100" s="159" t="s">
        <v>3</v>
      </c>
      <c r="AD100" s="159" t="s">
        <v>3</v>
      </c>
      <c r="AE100" s="150" t="s">
        <v>3</v>
      </c>
      <c r="AF100" s="150" t="s">
        <v>3</v>
      </c>
      <c r="AG100" s="150" t="s">
        <v>3</v>
      </c>
      <c r="AH100" s="150" t="s">
        <v>3</v>
      </c>
      <c r="AI100" s="151" t="s">
        <v>3</v>
      </c>
      <c r="AJ100" s="151" t="s">
        <v>564</v>
      </c>
      <c r="AK100" s="151" t="s">
        <v>3</v>
      </c>
      <c r="AL100" s="151" t="s">
        <v>3</v>
      </c>
      <c r="AM100" s="151" t="s">
        <v>3</v>
      </c>
      <c r="AN100" s="152" t="s">
        <v>564</v>
      </c>
      <c r="AO100" s="152" t="s">
        <v>564</v>
      </c>
      <c r="AP100" s="152" t="s">
        <v>564</v>
      </c>
      <c r="AQ100" s="152" t="s">
        <v>564</v>
      </c>
      <c r="AR100" s="152" t="s">
        <v>564</v>
      </c>
      <c r="AS100" s="153" t="s">
        <v>3</v>
      </c>
      <c r="AT100" s="153" t="s">
        <v>3</v>
      </c>
      <c r="AU100" s="153" t="s">
        <v>3</v>
      </c>
      <c r="AV100" s="153" t="s">
        <v>3</v>
      </c>
      <c r="AW100" s="154" t="s">
        <v>3</v>
      </c>
      <c r="AX100" s="154" t="s">
        <v>3</v>
      </c>
      <c r="AY100" s="155" t="s">
        <v>3</v>
      </c>
      <c r="AZ100" s="155" t="s">
        <v>3</v>
      </c>
      <c r="BA100" s="156" t="s">
        <v>3</v>
      </c>
    </row>
    <row r="101" spans="1:53" x14ac:dyDescent="0.25">
      <c r="A101" s="38">
        <v>98</v>
      </c>
      <c r="B101" s="139" t="s">
        <v>24</v>
      </c>
      <c r="C101" s="38" t="s">
        <v>138</v>
      </c>
      <c r="D101" s="38" t="s">
        <v>221</v>
      </c>
      <c r="E101" s="48">
        <v>516.91522099999997</v>
      </c>
      <c r="F101" s="140" t="s">
        <v>3</v>
      </c>
      <c r="G101" s="140" t="s">
        <v>3</v>
      </c>
      <c r="H101" s="140" t="s">
        <v>3</v>
      </c>
      <c r="I101" s="160" t="s">
        <v>3</v>
      </c>
      <c r="J101" s="160" t="s">
        <v>3</v>
      </c>
      <c r="K101" s="143" t="s">
        <v>3</v>
      </c>
      <c r="L101" s="145" t="s">
        <v>3</v>
      </c>
      <c r="M101" s="145" t="s">
        <v>3</v>
      </c>
      <c r="N101" s="145" t="s">
        <v>3</v>
      </c>
      <c r="O101" s="145" t="s">
        <v>3</v>
      </c>
      <c r="P101" s="145" t="s">
        <v>3</v>
      </c>
      <c r="Q101" s="145" t="s">
        <v>3</v>
      </c>
      <c r="R101" s="145" t="s">
        <v>3</v>
      </c>
      <c r="S101" s="145" t="s">
        <v>3</v>
      </c>
      <c r="T101" s="145" t="s">
        <v>3</v>
      </c>
      <c r="U101" s="145" t="s">
        <v>3</v>
      </c>
      <c r="V101" s="145" t="s">
        <v>3</v>
      </c>
      <c r="W101" s="157" t="s">
        <v>3</v>
      </c>
      <c r="X101" s="157" t="s">
        <v>3</v>
      </c>
      <c r="Y101" s="157" t="s">
        <v>3</v>
      </c>
      <c r="Z101" s="158" t="s">
        <v>3</v>
      </c>
      <c r="AA101" s="163" t="s">
        <v>3</v>
      </c>
      <c r="AB101" s="163" t="s">
        <v>3</v>
      </c>
      <c r="AC101" s="159" t="s">
        <v>3</v>
      </c>
      <c r="AD101" s="159" t="s">
        <v>3</v>
      </c>
      <c r="AE101" s="150" t="s">
        <v>3</v>
      </c>
      <c r="AF101" s="150" t="s">
        <v>3</v>
      </c>
      <c r="AG101" s="150" t="s">
        <v>3</v>
      </c>
      <c r="AH101" s="150" t="s">
        <v>3</v>
      </c>
      <c r="AI101" s="151" t="s">
        <v>3</v>
      </c>
      <c r="AJ101" s="151" t="s">
        <v>3</v>
      </c>
      <c r="AK101" s="151" t="s">
        <v>3</v>
      </c>
      <c r="AL101" s="151" t="s">
        <v>3</v>
      </c>
      <c r="AM101" s="151" t="s">
        <v>3</v>
      </c>
      <c r="AN101" s="152" t="s">
        <v>3</v>
      </c>
      <c r="AO101" s="152" t="s">
        <v>3</v>
      </c>
      <c r="AP101" s="152" t="s">
        <v>3</v>
      </c>
      <c r="AQ101" s="152" t="s">
        <v>3</v>
      </c>
      <c r="AR101" s="152" t="s">
        <v>3</v>
      </c>
      <c r="AS101" s="153" t="s">
        <v>3</v>
      </c>
      <c r="AT101" s="153" t="s">
        <v>3</v>
      </c>
      <c r="AU101" s="153" t="s">
        <v>3</v>
      </c>
      <c r="AV101" s="153" t="s">
        <v>3</v>
      </c>
      <c r="AW101" s="154" t="s">
        <v>3</v>
      </c>
      <c r="AX101" s="154" t="s">
        <v>3</v>
      </c>
      <c r="AY101" s="155" t="s">
        <v>3</v>
      </c>
      <c r="AZ101" s="155" t="s">
        <v>3</v>
      </c>
      <c r="BA101" s="156" t="s">
        <v>3</v>
      </c>
    </row>
    <row r="102" spans="1:53" x14ac:dyDescent="0.25">
      <c r="A102" s="38">
        <v>99</v>
      </c>
      <c r="B102" s="139" t="s">
        <v>24</v>
      </c>
      <c r="C102" s="38" t="s">
        <v>139</v>
      </c>
      <c r="D102" s="38" t="s">
        <v>221</v>
      </c>
      <c r="E102" s="48">
        <v>514.900668</v>
      </c>
      <c r="F102" s="140" t="s">
        <v>564</v>
      </c>
      <c r="G102" s="140" t="s">
        <v>564</v>
      </c>
      <c r="H102" s="140" t="s">
        <v>564</v>
      </c>
      <c r="I102" s="160" t="s">
        <v>3</v>
      </c>
      <c r="J102" s="160" t="s">
        <v>3</v>
      </c>
      <c r="K102" s="143" t="s">
        <v>3</v>
      </c>
      <c r="L102" s="145" t="s">
        <v>3</v>
      </c>
      <c r="M102" s="145" t="s">
        <v>3</v>
      </c>
      <c r="N102" s="145" t="s">
        <v>3</v>
      </c>
      <c r="O102" s="145" t="s">
        <v>3</v>
      </c>
      <c r="P102" s="145">
        <v>15.236000000000001</v>
      </c>
      <c r="Q102" s="145">
        <v>15.257</v>
      </c>
      <c r="R102" s="145" t="s">
        <v>3</v>
      </c>
      <c r="S102" s="145">
        <v>15.305999999999999</v>
      </c>
      <c r="T102" s="145" t="s">
        <v>3</v>
      </c>
      <c r="U102" s="145" t="s">
        <v>3</v>
      </c>
      <c r="V102" s="145" t="s">
        <v>3</v>
      </c>
      <c r="W102" s="146" t="s">
        <v>564</v>
      </c>
      <c r="X102" s="146" t="s">
        <v>564</v>
      </c>
      <c r="Y102" s="146" t="s">
        <v>564</v>
      </c>
      <c r="Z102" s="158" t="s">
        <v>3</v>
      </c>
      <c r="AA102" s="163" t="s">
        <v>3</v>
      </c>
      <c r="AB102" s="163" t="s">
        <v>3</v>
      </c>
      <c r="AC102" s="159" t="s">
        <v>3</v>
      </c>
      <c r="AD102" s="159" t="s">
        <v>3</v>
      </c>
      <c r="AE102" s="150" t="s">
        <v>3</v>
      </c>
      <c r="AF102" s="150" t="s">
        <v>3</v>
      </c>
      <c r="AG102" s="150" t="s">
        <v>3</v>
      </c>
      <c r="AH102" s="150" t="s">
        <v>3</v>
      </c>
      <c r="AI102" s="151" t="s">
        <v>3</v>
      </c>
      <c r="AJ102" s="151" t="s">
        <v>564</v>
      </c>
      <c r="AK102" s="151" t="s">
        <v>3</v>
      </c>
      <c r="AL102" s="151" t="s">
        <v>3</v>
      </c>
      <c r="AM102" s="151" t="s">
        <v>564</v>
      </c>
      <c r="AN102" s="152" t="s">
        <v>564</v>
      </c>
      <c r="AO102" s="152" t="s">
        <v>564</v>
      </c>
      <c r="AP102" s="152" t="s">
        <v>564</v>
      </c>
      <c r="AQ102" s="152" t="s">
        <v>564</v>
      </c>
      <c r="AR102" s="152" t="s">
        <v>564</v>
      </c>
      <c r="AS102" s="153" t="s">
        <v>3</v>
      </c>
      <c r="AT102" s="153" t="s">
        <v>3</v>
      </c>
      <c r="AU102" s="153" t="s">
        <v>3</v>
      </c>
      <c r="AV102" s="153" t="s">
        <v>3</v>
      </c>
      <c r="AW102" s="154" t="s">
        <v>3</v>
      </c>
      <c r="AX102" s="154" t="s">
        <v>3</v>
      </c>
      <c r="AY102" s="155" t="s">
        <v>3</v>
      </c>
      <c r="AZ102" s="155" t="s">
        <v>3</v>
      </c>
      <c r="BA102" s="156" t="s">
        <v>3</v>
      </c>
    </row>
    <row r="103" spans="1:53" x14ac:dyDescent="0.25">
      <c r="A103" s="38">
        <v>100</v>
      </c>
      <c r="B103" s="139" t="s">
        <v>25</v>
      </c>
      <c r="C103" s="38" t="s">
        <v>138</v>
      </c>
      <c r="D103" s="38" t="s">
        <v>222</v>
      </c>
      <c r="E103" s="48">
        <v>416.94607300000001</v>
      </c>
      <c r="F103" s="140" t="s">
        <v>3</v>
      </c>
      <c r="G103" s="140" t="s">
        <v>3</v>
      </c>
      <c r="H103" s="140" t="s">
        <v>3</v>
      </c>
      <c r="I103" s="160" t="s">
        <v>3</v>
      </c>
      <c r="J103" s="160" t="s">
        <v>3</v>
      </c>
      <c r="K103" s="143" t="s">
        <v>3</v>
      </c>
      <c r="L103" s="145" t="s">
        <v>3</v>
      </c>
      <c r="M103" s="145" t="s">
        <v>3</v>
      </c>
      <c r="N103" s="145" t="s">
        <v>3</v>
      </c>
      <c r="O103" s="145" t="s">
        <v>3</v>
      </c>
      <c r="P103" s="145" t="s">
        <v>3</v>
      </c>
      <c r="Q103" s="145" t="s">
        <v>3</v>
      </c>
      <c r="R103" s="145" t="s">
        <v>3</v>
      </c>
      <c r="S103" s="145" t="s">
        <v>3</v>
      </c>
      <c r="T103" s="145" t="s">
        <v>3</v>
      </c>
      <c r="U103" s="145" t="s">
        <v>3</v>
      </c>
      <c r="V103" s="145" t="s">
        <v>3</v>
      </c>
      <c r="W103" s="157" t="s">
        <v>3</v>
      </c>
      <c r="X103" s="157" t="s">
        <v>3</v>
      </c>
      <c r="Y103" s="157" t="s">
        <v>3</v>
      </c>
      <c r="Z103" s="158" t="s">
        <v>3</v>
      </c>
      <c r="AA103" s="163" t="s">
        <v>3</v>
      </c>
      <c r="AB103" s="163" t="s">
        <v>3</v>
      </c>
      <c r="AC103" s="159" t="s">
        <v>3</v>
      </c>
      <c r="AD103" s="159" t="s">
        <v>3</v>
      </c>
      <c r="AE103" s="150" t="s">
        <v>3</v>
      </c>
      <c r="AF103" s="150" t="s">
        <v>3</v>
      </c>
      <c r="AG103" s="150" t="s">
        <v>3</v>
      </c>
      <c r="AH103" s="150" t="s">
        <v>3</v>
      </c>
      <c r="AI103" s="151" t="s">
        <v>3</v>
      </c>
      <c r="AJ103" s="151" t="s">
        <v>3</v>
      </c>
      <c r="AK103" s="151" t="s">
        <v>3</v>
      </c>
      <c r="AL103" s="151" t="s">
        <v>3</v>
      </c>
      <c r="AM103" s="151" t="s">
        <v>3</v>
      </c>
      <c r="AN103" s="152" t="s">
        <v>3</v>
      </c>
      <c r="AO103" s="152" t="s">
        <v>3</v>
      </c>
      <c r="AP103" s="152" t="s">
        <v>3</v>
      </c>
      <c r="AQ103" s="152" t="s">
        <v>3</v>
      </c>
      <c r="AR103" s="152" t="s">
        <v>3</v>
      </c>
      <c r="AS103" s="153" t="s">
        <v>3</v>
      </c>
      <c r="AT103" s="153" t="s">
        <v>3</v>
      </c>
      <c r="AU103" s="153" t="s">
        <v>3</v>
      </c>
      <c r="AV103" s="153" t="s">
        <v>3</v>
      </c>
      <c r="AW103" s="154" t="s">
        <v>3</v>
      </c>
      <c r="AX103" s="154" t="s">
        <v>3</v>
      </c>
      <c r="AY103" s="155" t="s">
        <v>3</v>
      </c>
      <c r="AZ103" s="155" t="s">
        <v>3</v>
      </c>
      <c r="BA103" s="156" t="s">
        <v>3</v>
      </c>
    </row>
    <row r="104" spans="1:53" x14ac:dyDescent="0.25">
      <c r="A104" s="38">
        <v>101</v>
      </c>
      <c r="B104" s="139" t="s">
        <v>25</v>
      </c>
      <c r="C104" s="38" t="s">
        <v>139</v>
      </c>
      <c r="D104" s="38" t="s">
        <v>222</v>
      </c>
      <c r="E104" s="48">
        <v>414.93151999999998</v>
      </c>
      <c r="F104" s="140" t="s">
        <v>564</v>
      </c>
      <c r="G104" s="140" t="s">
        <v>564</v>
      </c>
      <c r="H104" s="140" t="s">
        <v>564</v>
      </c>
      <c r="I104" s="160" t="s">
        <v>3</v>
      </c>
      <c r="J104" s="160" t="s">
        <v>3</v>
      </c>
      <c r="K104" s="143" t="s">
        <v>3</v>
      </c>
      <c r="L104" s="145" t="s">
        <v>3</v>
      </c>
      <c r="M104" s="145" t="s">
        <v>3</v>
      </c>
      <c r="N104" s="145" t="s">
        <v>3</v>
      </c>
      <c r="O104" s="145" t="s">
        <v>3</v>
      </c>
      <c r="P104" s="145" t="s">
        <v>3</v>
      </c>
      <c r="Q104" s="145" t="s">
        <v>3</v>
      </c>
      <c r="R104" s="145" t="s">
        <v>3</v>
      </c>
      <c r="S104" s="145" t="s">
        <v>3</v>
      </c>
      <c r="T104" s="145" t="s">
        <v>3</v>
      </c>
      <c r="U104" s="145" t="s">
        <v>3</v>
      </c>
      <c r="V104" s="145" t="s">
        <v>3</v>
      </c>
      <c r="W104" s="146" t="s">
        <v>564</v>
      </c>
      <c r="X104" s="146" t="s">
        <v>564</v>
      </c>
      <c r="Y104" s="146" t="s">
        <v>564</v>
      </c>
      <c r="Z104" s="158" t="s">
        <v>3</v>
      </c>
      <c r="AA104" s="163" t="s">
        <v>3</v>
      </c>
      <c r="AB104" s="163" t="s">
        <v>3</v>
      </c>
      <c r="AC104" s="159" t="s">
        <v>3</v>
      </c>
      <c r="AD104" s="159" t="s">
        <v>3</v>
      </c>
      <c r="AE104" s="150" t="s">
        <v>3</v>
      </c>
      <c r="AF104" s="150" t="s">
        <v>3</v>
      </c>
      <c r="AG104" s="150" t="s">
        <v>3</v>
      </c>
      <c r="AH104" s="150" t="s">
        <v>3</v>
      </c>
      <c r="AI104" s="151" t="s">
        <v>3</v>
      </c>
      <c r="AJ104" s="151" t="s">
        <v>564</v>
      </c>
      <c r="AK104" s="151" t="s">
        <v>3</v>
      </c>
      <c r="AL104" s="151" t="s">
        <v>3</v>
      </c>
      <c r="AM104" s="151" t="s">
        <v>564</v>
      </c>
      <c r="AN104" s="152" t="s">
        <v>564</v>
      </c>
      <c r="AO104" s="152" t="s">
        <v>564</v>
      </c>
      <c r="AP104" s="152" t="s">
        <v>564</v>
      </c>
      <c r="AQ104" s="152" t="s">
        <v>564</v>
      </c>
      <c r="AR104" s="152" t="s">
        <v>564</v>
      </c>
      <c r="AS104" s="153" t="s">
        <v>3</v>
      </c>
      <c r="AT104" s="153" t="s">
        <v>3</v>
      </c>
      <c r="AU104" s="153" t="s">
        <v>3</v>
      </c>
      <c r="AV104" s="153" t="s">
        <v>3</v>
      </c>
      <c r="AW104" s="154" t="s">
        <v>3</v>
      </c>
      <c r="AX104" s="154" t="s">
        <v>3</v>
      </c>
      <c r="AY104" s="155" t="s">
        <v>3</v>
      </c>
      <c r="AZ104" s="155" t="s">
        <v>3</v>
      </c>
      <c r="BA104" s="156" t="s">
        <v>3</v>
      </c>
    </row>
    <row r="105" spans="1:53" x14ac:dyDescent="0.25">
      <c r="A105" s="38">
        <v>102</v>
      </c>
      <c r="B105" s="139" t="s">
        <v>26</v>
      </c>
      <c r="C105" s="38" t="s">
        <v>138</v>
      </c>
      <c r="D105" s="38" t="s">
        <v>223</v>
      </c>
      <c r="E105" s="48">
        <v>478.942879</v>
      </c>
      <c r="F105" s="140" t="s">
        <v>3</v>
      </c>
      <c r="G105" s="140" t="s">
        <v>3</v>
      </c>
      <c r="H105" s="140" t="s">
        <v>3</v>
      </c>
      <c r="I105" s="160" t="s">
        <v>3</v>
      </c>
      <c r="J105" s="160" t="s">
        <v>3</v>
      </c>
      <c r="K105" s="143" t="s">
        <v>3</v>
      </c>
      <c r="L105" s="145" t="s">
        <v>3</v>
      </c>
      <c r="M105" s="145" t="s">
        <v>3</v>
      </c>
      <c r="N105" s="145" t="s">
        <v>3</v>
      </c>
      <c r="O105" s="145" t="s">
        <v>3</v>
      </c>
      <c r="P105" s="145" t="s">
        <v>3</v>
      </c>
      <c r="Q105" s="145" t="s">
        <v>3</v>
      </c>
      <c r="R105" s="145" t="s">
        <v>3</v>
      </c>
      <c r="S105" s="145" t="s">
        <v>3</v>
      </c>
      <c r="T105" s="145" t="s">
        <v>3</v>
      </c>
      <c r="U105" s="145" t="s">
        <v>3</v>
      </c>
      <c r="V105" s="145" t="s">
        <v>3</v>
      </c>
      <c r="W105" s="157" t="s">
        <v>3</v>
      </c>
      <c r="X105" s="157" t="s">
        <v>3</v>
      </c>
      <c r="Y105" s="157" t="s">
        <v>3</v>
      </c>
      <c r="Z105" s="158" t="s">
        <v>3</v>
      </c>
      <c r="AA105" s="163" t="s">
        <v>3</v>
      </c>
      <c r="AB105" s="163" t="s">
        <v>3</v>
      </c>
      <c r="AC105" s="159" t="s">
        <v>3</v>
      </c>
      <c r="AD105" s="159" t="s">
        <v>3</v>
      </c>
      <c r="AE105" s="150" t="s">
        <v>3</v>
      </c>
      <c r="AF105" s="150" t="s">
        <v>3</v>
      </c>
      <c r="AG105" s="150" t="s">
        <v>3</v>
      </c>
      <c r="AH105" s="150" t="s">
        <v>3</v>
      </c>
      <c r="AI105" s="151" t="s">
        <v>3</v>
      </c>
      <c r="AJ105" s="151" t="s">
        <v>3</v>
      </c>
      <c r="AK105" s="151" t="s">
        <v>3</v>
      </c>
      <c r="AL105" s="151" t="s">
        <v>3</v>
      </c>
      <c r="AM105" s="151" t="s">
        <v>3</v>
      </c>
      <c r="AN105" s="152" t="s">
        <v>3</v>
      </c>
      <c r="AO105" s="152" t="s">
        <v>3</v>
      </c>
      <c r="AP105" s="152" t="s">
        <v>3</v>
      </c>
      <c r="AQ105" s="152" t="s">
        <v>3</v>
      </c>
      <c r="AR105" s="152" t="s">
        <v>3</v>
      </c>
      <c r="AS105" s="153" t="s">
        <v>3</v>
      </c>
      <c r="AT105" s="153" t="s">
        <v>3</v>
      </c>
      <c r="AU105" s="153" t="s">
        <v>3</v>
      </c>
      <c r="AV105" s="153" t="s">
        <v>3</v>
      </c>
      <c r="AW105" s="154" t="s">
        <v>3</v>
      </c>
      <c r="AX105" s="154" t="s">
        <v>3</v>
      </c>
      <c r="AY105" s="155" t="s">
        <v>3</v>
      </c>
      <c r="AZ105" s="155" t="s">
        <v>3</v>
      </c>
      <c r="BA105" s="156" t="s">
        <v>3</v>
      </c>
    </row>
    <row r="106" spans="1:53" x14ac:dyDescent="0.25">
      <c r="A106" s="38">
        <v>103</v>
      </c>
      <c r="B106" s="139" t="s">
        <v>26</v>
      </c>
      <c r="C106" s="38" t="s">
        <v>139</v>
      </c>
      <c r="D106" s="38" t="s">
        <v>223</v>
      </c>
      <c r="E106" s="48">
        <v>476.92832600000003</v>
      </c>
      <c r="F106" s="140" t="s">
        <v>564</v>
      </c>
      <c r="G106" s="140" t="s">
        <v>564</v>
      </c>
      <c r="H106" s="140" t="s">
        <v>564</v>
      </c>
      <c r="I106" s="160" t="s">
        <v>3</v>
      </c>
      <c r="J106" s="160" t="s">
        <v>3</v>
      </c>
      <c r="K106" s="143" t="s">
        <v>3</v>
      </c>
      <c r="L106" s="145" t="s">
        <v>3</v>
      </c>
      <c r="M106" s="145" t="s">
        <v>3</v>
      </c>
      <c r="N106" s="145">
        <v>14.276999999999999</v>
      </c>
      <c r="O106" s="145" t="s">
        <v>3</v>
      </c>
      <c r="P106" s="145">
        <v>14.352</v>
      </c>
      <c r="Q106" s="145" t="s">
        <v>3</v>
      </c>
      <c r="R106" s="145" t="s">
        <v>3</v>
      </c>
      <c r="S106" s="145">
        <v>14.375</v>
      </c>
      <c r="T106" s="145" t="s">
        <v>3</v>
      </c>
      <c r="U106" s="145" t="s">
        <v>3</v>
      </c>
      <c r="V106" s="145">
        <v>14.315</v>
      </c>
      <c r="W106" s="146" t="s">
        <v>564</v>
      </c>
      <c r="X106" s="146" t="s">
        <v>564</v>
      </c>
      <c r="Y106" s="146" t="s">
        <v>564</v>
      </c>
      <c r="Z106" s="158" t="s">
        <v>3</v>
      </c>
      <c r="AA106" s="163" t="s">
        <v>3</v>
      </c>
      <c r="AB106" s="163" t="s">
        <v>3</v>
      </c>
      <c r="AC106" s="159" t="s">
        <v>3</v>
      </c>
      <c r="AD106" s="159" t="s">
        <v>3</v>
      </c>
      <c r="AE106" s="150" t="s">
        <v>3</v>
      </c>
      <c r="AF106" s="150" t="s">
        <v>3</v>
      </c>
      <c r="AG106" s="150" t="s">
        <v>3</v>
      </c>
      <c r="AH106" s="150" t="s">
        <v>3</v>
      </c>
      <c r="AI106" s="151" t="s">
        <v>3</v>
      </c>
      <c r="AJ106" s="151" t="s">
        <v>564</v>
      </c>
      <c r="AK106" s="151" t="s">
        <v>3</v>
      </c>
      <c r="AL106" s="151" t="s">
        <v>3</v>
      </c>
      <c r="AM106" s="151" t="s">
        <v>564</v>
      </c>
      <c r="AN106" s="152" t="s">
        <v>564</v>
      </c>
      <c r="AO106" s="152" t="s">
        <v>564</v>
      </c>
      <c r="AP106" s="152" t="s">
        <v>564</v>
      </c>
      <c r="AQ106" s="152" t="s">
        <v>564</v>
      </c>
      <c r="AR106" s="152" t="s">
        <v>564</v>
      </c>
      <c r="AS106" s="153" t="s">
        <v>3</v>
      </c>
      <c r="AT106" s="153" t="s">
        <v>3</v>
      </c>
      <c r="AU106" s="153" t="s">
        <v>3</v>
      </c>
      <c r="AV106" s="153" t="s">
        <v>3</v>
      </c>
      <c r="AW106" s="154" t="s">
        <v>3</v>
      </c>
      <c r="AX106" s="154" t="s">
        <v>3</v>
      </c>
      <c r="AY106" s="155" t="s">
        <v>3</v>
      </c>
      <c r="AZ106" s="155" t="s">
        <v>3</v>
      </c>
      <c r="BA106" s="156" t="s">
        <v>3</v>
      </c>
    </row>
    <row r="107" spans="1:53" x14ac:dyDescent="0.25">
      <c r="A107" s="38">
        <v>104</v>
      </c>
      <c r="B107" s="139" t="s">
        <v>118</v>
      </c>
      <c r="C107" s="38" t="s">
        <v>138</v>
      </c>
      <c r="D107" s="38" t="s">
        <v>224</v>
      </c>
      <c r="E107" s="48">
        <v>325.17106799999999</v>
      </c>
      <c r="F107" s="140" t="s">
        <v>3</v>
      </c>
      <c r="G107" s="140" t="s">
        <v>3</v>
      </c>
      <c r="H107" s="140" t="s">
        <v>3</v>
      </c>
      <c r="I107" s="160" t="s">
        <v>3</v>
      </c>
      <c r="J107" s="160" t="s">
        <v>3</v>
      </c>
      <c r="K107" s="164">
        <v>23.027000000000001</v>
      </c>
      <c r="L107" s="145" t="s">
        <v>3</v>
      </c>
      <c r="M107" s="145">
        <v>6.407</v>
      </c>
      <c r="N107" s="145">
        <v>6.4290000000000003</v>
      </c>
      <c r="O107" s="145">
        <v>6.4770000000000003</v>
      </c>
      <c r="P107" s="145">
        <v>6.4539999999999997</v>
      </c>
      <c r="Q107" s="145">
        <v>6.5069999999999997</v>
      </c>
      <c r="R107" s="145">
        <v>6.548</v>
      </c>
      <c r="S107" s="145">
        <v>6.468</v>
      </c>
      <c r="T107" s="145">
        <v>6.5620000000000003</v>
      </c>
      <c r="U107" s="145">
        <v>6.53</v>
      </c>
      <c r="V107" s="145">
        <v>6.5270000000000001</v>
      </c>
      <c r="W107" s="157">
        <v>6.6210000000000004</v>
      </c>
      <c r="X107" s="157">
        <v>6.5410000000000004</v>
      </c>
      <c r="Y107" s="157">
        <v>6.5270000000000001</v>
      </c>
      <c r="Z107" s="158" t="s">
        <v>3</v>
      </c>
      <c r="AA107" s="163">
        <v>6.992</v>
      </c>
      <c r="AB107" s="163" t="s">
        <v>3</v>
      </c>
      <c r="AC107" s="159" t="s">
        <v>3</v>
      </c>
      <c r="AD107" s="159" t="s">
        <v>3</v>
      </c>
      <c r="AE107" s="150">
        <v>6.7610000000000001</v>
      </c>
      <c r="AF107" s="150">
        <v>6.7919999999999998</v>
      </c>
      <c r="AG107" s="150">
        <v>6.7610000000000001</v>
      </c>
      <c r="AH107" s="150">
        <v>6.4939999999999998</v>
      </c>
      <c r="AI107" s="151" t="s">
        <v>3</v>
      </c>
      <c r="AJ107" s="161">
        <v>8.3960833333333298</v>
      </c>
      <c r="AK107" s="161">
        <v>8.0923666666666705</v>
      </c>
      <c r="AL107" s="161">
        <v>7.8044833333333301</v>
      </c>
      <c r="AM107" s="161" t="s">
        <v>3</v>
      </c>
      <c r="AN107" s="152" t="s">
        <v>3</v>
      </c>
      <c r="AO107" s="152" t="s">
        <v>3</v>
      </c>
      <c r="AP107" s="152" t="s">
        <v>3</v>
      </c>
      <c r="AQ107" s="152" t="s">
        <v>3</v>
      </c>
      <c r="AR107" s="152" t="s">
        <v>3</v>
      </c>
      <c r="AS107" s="153">
        <v>13.912000000000001</v>
      </c>
      <c r="AT107" s="153">
        <v>13.292</v>
      </c>
      <c r="AU107" s="153">
        <v>13.833</v>
      </c>
      <c r="AV107" s="153">
        <v>13.919</v>
      </c>
      <c r="AW107" s="154" t="s">
        <v>3</v>
      </c>
      <c r="AX107" s="154" t="s">
        <v>3</v>
      </c>
      <c r="AY107" s="155" t="s">
        <v>3</v>
      </c>
      <c r="AZ107" s="155" t="s">
        <v>3</v>
      </c>
      <c r="BA107" s="156">
        <v>5.6</v>
      </c>
    </row>
    <row r="108" spans="1:53" x14ac:dyDescent="0.25">
      <c r="A108" s="38">
        <v>105</v>
      </c>
      <c r="B108" s="139" t="s">
        <v>108</v>
      </c>
      <c r="C108" s="38" t="s">
        <v>138</v>
      </c>
      <c r="D108" s="38" t="s">
        <v>225</v>
      </c>
      <c r="E108" s="48">
        <v>343.18163299999998</v>
      </c>
      <c r="F108" s="140" t="s">
        <v>3</v>
      </c>
      <c r="G108" s="140" t="s">
        <v>3</v>
      </c>
      <c r="H108" s="140" t="s">
        <v>3</v>
      </c>
      <c r="I108" s="160" t="s">
        <v>3</v>
      </c>
      <c r="J108" s="160" t="s">
        <v>3</v>
      </c>
      <c r="K108" s="143" t="s">
        <v>3</v>
      </c>
      <c r="L108" s="145" t="s">
        <v>3</v>
      </c>
      <c r="M108" s="145" t="s">
        <v>3</v>
      </c>
      <c r="N108" s="145" t="s">
        <v>3</v>
      </c>
      <c r="O108" s="145" t="s">
        <v>3</v>
      </c>
      <c r="P108" s="145" t="s">
        <v>3</v>
      </c>
      <c r="Q108" s="145" t="s">
        <v>3</v>
      </c>
      <c r="R108" s="145" t="s">
        <v>3</v>
      </c>
      <c r="S108" s="145" t="s">
        <v>3</v>
      </c>
      <c r="T108" s="145" t="s">
        <v>3</v>
      </c>
      <c r="U108" s="145" t="s">
        <v>3</v>
      </c>
      <c r="V108" s="145" t="s">
        <v>3</v>
      </c>
      <c r="W108" s="157" t="s">
        <v>3</v>
      </c>
      <c r="X108" s="157" t="s">
        <v>3</v>
      </c>
      <c r="Y108" s="157" t="s">
        <v>3</v>
      </c>
      <c r="Z108" s="158" t="s">
        <v>3</v>
      </c>
      <c r="AA108" s="163" t="s">
        <v>3</v>
      </c>
      <c r="AB108" s="163" t="s">
        <v>3</v>
      </c>
      <c r="AC108" s="159" t="s">
        <v>3</v>
      </c>
      <c r="AD108" s="159" t="s">
        <v>3</v>
      </c>
      <c r="AE108" s="150" t="s">
        <v>3</v>
      </c>
      <c r="AF108" s="150" t="s">
        <v>3</v>
      </c>
      <c r="AG108" s="150" t="s">
        <v>3</v>
      </c>
      <c r="AH108" s="150" t="s">
        <v>3</v>
      </c>
      <c r="AI108" s="151" t="s">
        <v>3</v>
      </c>
      <c r="AJ108" s="151" t="s">
        <v>3</v>
      </c>
      <c r="AK108" s="151" t="s">
        <v>3</v>
      </c>
      <c r="AL108" s="151" t="s">
        <v>3</v>
      </c>
      <c r="AM108" s="151" t="s">
        <v>3</v>
      </c>
      <c r="AN108" s="152" t="s">
        <v>3</v>
      </c>
      <c r="AO108" s="152" t="s">
        <v>3</v>
      </c>
      <c r="AP108" s="152" t="s">
        <v>3</v>
      </c>
      <c r="AQ108" s="152" t="s">
        <v>3</v>
      </c>
      <c r="AR108" s="152" t="s">
        <v>3</v>
      </c>
      <c r="AS108" s="153" t="s">
        <v>3</v>
      </c>
      <c r="AT108" s="153" t="s">
        <v>3</v>
      </c>
      <c r="AU108" s="153" t="s">
        <v>3</v>
      </c>
      <c r="AV108" s="153" t="s">
        <v>3</v>
      </c>
      <c r="AW108" s="154" t="s">
        <v>3</v>
      </c>
      <c r="AX108" s="154" t="s">
        <v>3</v>
      </c>
      <c r="AY108" s="155" t="s">
        <v>3</v>
      </c>
      <c r="AZ108" s="155" t="s">
        <v>3</v>
      </c>
      <c r="BA108" s="156" t="s">
        <v>3</v>
      </c>
    </row>
    <row r="109" spans="1:53" x14ac:dyDescent="0.25">
      <c r="A109" s="38">
        <v>106</v>
      </c>
      <c r="B109" s="139" t="s">
        <v>109</v>
      </c>
      <c r="C109" s="38" t="s">
        <v>138</v>
      </c>
      <c r="D109" s="38" t="s">
        <v>226</v>
      </c>
      <c r="E109" s="48">
        <v>345.173473</v>
      </c>
      <c r="F109" s="140" t="s">
        <v>3</v>
      </c>
      <c r="G109" s="140" t="s">
        <v>3</v>
      </c>
      <c r="H109" s="140" t="s">
        <v>3</v>
      </c>
      <c r="I109" s="160" t="s">
        <v>3</v>
      </c>
      <c r="J109" s="160" t="s">
        <v>3</v>
      </c>
      <c r="K109" s="143" t="s">
        <v>3</v>
      </c>
      <c r="L109" s="145" t="s">
        <v>3</v>
      </c>
      <c r="M109" s="145" t="s">
        <v>3</v>
      </c>
      <c r="N109" s="145" t="s">
        <v>3</v>
      </c>
      <c r="O109" s="145" t="s">
        <v>3</v>
      </c>
      <c r="P109" s="145" t="s">
        <v>3</v>
      </c>
      <c r="Q109" s="145" t="s">
        <v>3</v>
      </c>
      <c r="R109" s="145" t="s">
        <v>3</v>
      </c>
      <c r="S109" s="145" t="s">
        <v>3</v>
      </c>
      <c r="T109" s="145" t="s">
        <v>3</v>
      </c>
      <c r="U109" s="145" t="s">
        <v>3</v>
      </c>
      <c r="V109" s="145" t="s">
        <v>3</v>
      </c>
      <c r="W109" s="157" t="s">
        <v>3</v>
      </c>
      <c r="X109" s="157" t="s">
        <v>3</v>
      </c>
      <c r="Y109" s="157" t="s">
        <v>3</v>
      </c>
      <c r="Z109" s="158" t="s">
        <v>3</v>
      </c>
      <c r="AA109" s="163" t="s">
        <v>3</v>
      </c>
      <c r="AB109" s="163" t="s">
        <v>3</v>
      </c>
      <c r="AC109" s="159" t="s">
        <v>3</v>
      </c>
      <c r="AD109" s="159" t="s">
        <v>3</v>
      </c>
      <c r="AE109" s="150" t="s">
        <v>3</v>
      </c>
      <c r="AF109" s="150" t="s">
        <v>3</v>
      </c>
      <c r="AG109" s="150" t="s">
        <v>3</v>
      </c>
      <c r="AH109" s="150" t="s">
        <v>3</v>
      </c>
      <c r="AI109" s="151" t="s">
        <v>3</v>
      </c>
      <c r="AJ109" s="151" t="s">
        <v>3</v>
      </c>
      <c r="AK109" s="151" t="s">
        <v>3</v>
      </c>
      <c r="AL109" s="151" t="s">
        <v>3</v>
      </c>
      <c r="AM109" s="151" t="s">
        <v>3</v>
      </c>
      <c r="AN109" s="152" t="s">
        <v>3</v>
      </c>
      <c r="AO109" s="152" t="s">
        <v>3</v>
      </c>
      <c r="AP109" s="152" t="s">
        <v>3</v>
      </c>
      <c r="AQ109" s="152" t="s">
        <v>3</v>
      </c>
      <c r="AR109" s="152" t="s">
        <v>3</v>
      </c>
      <c r="AS109" s="153" t="s">
        <v>3</v>
      </c>
      <c r="AT109" s="153" t="s">
        <v>3</v>
      </c>
      <c r="AU109" s="153" t="s">
        <v>3</v>
      </c>
      <c r="AV109" s="153" t="s">
        <v>3</v>
      </c>
      <c r="AW109" s="154" t="s">
        <v>3</v>
      </c>
      <c r="AX109" s="154" t="s">
        <v>3</v>
      </c>
      <c r="AY109" s="155" t="s">
        <v>3</v>
      </c>
      <c r="AZ109" s="155" t="s">
        <v>3</v>
      </c>
      <c r="BA109" s="156" t="s">
        <v>3</v>
      </c>
    </row>
    <row r="110" spans="1:53" x14ac:dyDescent="0.25">
      <c r="A110" s="38">
        <v>107</v>
      </c>
      <c r="B110" s="139" t="s">
        <v>110</v>
      </c>
      <c r="C110" s="38" t="s">
        <v>138</v>
      </c>
      <c r="D110" s="38" t="s">
        <v>227</v>
      </c>
      <c r="E110" s="48">
        <v>341.16598299999998</v>
      </c>
      <c r="F110" s="140" t="s">
        <v>3</v>
      </c>
      <c r="G110" s="140" t="s">
        <v>3</v>
      </c>
      <c r="H110" s="140" t="s">
        <v>3</v>
      </c>
      <c r="I110" s="160" t="s">
        <v>3</v>
      </c>
      <c r="J110" s="160" t="s">
        <v>3</v>
      </c>
      <c r="K110" s="143" t="s">
        <v>3</v>
      </c>
      <c r="L110" s="145" t="s">
        <v>3</v>
      </c>
      <c r="M110" s="145">
        <v>6.71</v>
      </c>
      <c r="N110" s="145">
        <v>6.7370000000000001</v>
      </c>
      <c r="O110" s="145">
        <v>6.7750000000000004</v>
      </c>
      <c r="P110" s="145">
        <v>6.806</v>
      </c>
      <c r="Q110" s="145">
        <v>6.7619999999999996</v>
      </c>
      <c r="R110" s="145">
        <v>6.8559999999999999</v>
      </c>
      <c r="S110" s="145">
        <v>6.72</v>
      </c>
      <c r="T110" s="145">
        <v>6.8120000000000003</v>
      </c>
      <c r="U110" s="145">
        <v>6.8289999999999997</v>
      </c>
      <c r="V110" s="145">
        <v>6.7839999999999998</v>
      </c>
      <c r="W110" s="157">
        <v>6.9009999999999998</v>
      </c>
      <c r="X110" s="157">
        <v>6.83</v>
      </c>
      <c r="Y110" s="157" t="s">
        <v>3</v>
      </c>
      <c r="Z110" s="158">
        <v>6.601</v>
      </c>
      <c r="AA110" s="163">
        <v>7.2510000000000003</v>
      </c>
      <c r="AB110" s="163" t="s">
        <v>3</v>
      </c>
      <c r="AC110" s="159" t="s">
        <v>3</v>
      </c>
      <c r="AD110" s="159" t="s">
        <v>3</v>
      </c>
      <c r="AE110" s="150" t="s">
        <v>3</v>
      </c>
      <c r="AF110" s="150">
        <v>7.125</v>
      </c>
      <c r="AG110" s="150" t="s">
        <v>3</v>
      </c>
      <c r="AH110" s="150" t="s">
        <v>3</v>
      </c>
      <c r="AI110" s="151">
        <v>8.1865500000000004</v>
      </c>
      <c r="AJ110" s="151" t="s">
        <v>3</v>
      </c>
      <c r="AK110" s="151" t="s">
        <v>3</v>
      </c>
      <c r="AL110" s="161">
        <v>8.1285166666666697</v>
      </c>
      <c r="AM110" s="161" t="s">
        <v>3</v>
      </c>
      <c r="AN110" s="162">
        <v>7.1030721664428702</v>
      </c>
      <c r="AO110" s="162">
        <v>6.8457798957824698</v>
      </c>
      <c r="AP110" s="162" t="s">
        <v>3</v>
      </c>
      <c r="AQ110" s="162" t="s">
        <v>3</v>
      </c>
      <c r="AR110" s="162" t="s">
        <v>3</v>
      </c>
      <c r="AS110" s="153" t="s">
        <v>3</v>
      </c>
      <c r="AT110" s="153" t="s">
        <v>3</v>
      </c>
      <c r="AU110" s="153" t="s">
        <v>3</v>
      </c>
      <c r="AV110" s="153" t="s">
        <v>3</v>
      </c>
      <c r="AW110" s="154" t="s">
        <v>3</v>
      </c>
      <c r="AX110" s="154" t="s">
        <v>3</v>
      </c>
      <c r="AY110" s="155" t="s">
        <v>3</v>
      </c>
      <c r="AZ110" s="155">
        <v>8.5893300000000004</v>
      </c>
      <c r="BA110" s="156" t="s">
        <v>3</v>
      </c>
    </row>
    <row r="111" spans="1:53" x14ac:dyDescent="0.25">
      <c r="A111" s="38">
        <v>108</v>
      </c>
      <c r="B111" s="139" t="s">
        <v>111</v>
      </c>
      <c r="C111" s="38" t="s">
        <v>138</v>
      </c>
      <c r="D111" s="38" t="s">
        <v>228</v>
      </c>
      <c r="E111" s="48">
        <v>312.16324300000002</v>
      </c>
      <c r="F111" s="140" t="s">
        <v>3</v>
      </c>
      <c r="G111" s="140" t="s">
        <v>3</v>
      </c>
      <c r="H111" s="140" t="s">
        <v>3</v>
      </c>
      <c r="I111" s="160" t="s">
        <v>3</v>
      </c>
      <c r="J111" s="160" t="s">
        <v>3</v>
      </c>
      <c r="K111" s="143" t="s">
        <v>3</v>
      </c>
      <c r="L111" s="145" t="s">
        <v>3</v>
      </c>
      <c r="M111" s="145">
        <v>14.268000000000001</v>
      </c>
      <c r="N111" s="145">
        <v>13.773999999999999</v>
      </c>
      <c r="O111" s="145">
        <v>13.786</v>
      </c>
      <c r="P111" s="145">
        <v>13.821999999999999</v>
      </c>
      <c r="Q111" s="145">
        <v>13.949</v>
      </c>
      <c r="R111" s="145">
        <v>14.042999999999999</v>
      </c>
      <c r="S111" s="145">
        <v>13.912000000000001</v>
      </c>
      <c r="T111" s="145">
        <v>13.877000000000001</v>
      </c>
      <c r="U111" s="145">
        <v>13.964</v>
      </c>
      <c r="V111" s="145">
        <v>14.076000000000001</v>
      </c>
      <c r="W111" s="157">
        <v>13.535</v>
      </c>
      <c r="X111" s="157">
        <v>13.486000000000001</v>
      </c>
      <c r="Y111" s="157" t="s">
        <v>3</v>
      </c>
      <c r="Z111" s="158" t="s">
        <v>3</v>
      </c>
      <c r="AA111" s="163">
        <v>13.381</v>
      </c>
      <c r="AB111" s="163" t="s">
        <v>3</v>
      </c>
      <c r="AC111" s="159">
        <v>13.021000000000001</v>
      </c>
      <c r="AD111" s="159" t="s">
        <v>3</v>
      </c>
      <c r="AE111" s="150" t="s">
        <v>3</v>
      </c>
      <c r="AF111" s="150" t="s">
        <v>3</v>
      </c>
      <c r="AG111" s="150" t="s">
        <v>3</v>
      </c>
      <c r="AH111" s="150" t="s">
        <v>3</v>
      </c>
      <c r="AI111" s="151" t="s">
        <v>3</v>
      </c>
      <c r="AJ111" s="151" t="s">
        <v>3</v>
      </c>
      <c r="AK111" s="151" t="s">
        <v>3</v>
      </c>
      <c r="AL111" s="151" t="s">
        <v>3</v>
      </c>
      <c r="AM111" s="151" t="s">
        <v>3</v>
      </c>
      <c r="AN111" s="162">
        <v>6.63348340988159</v>
      </c>
      <c r="AO111" s="152" t="s">
        <v>3</v>
      </c>
      <c r="AP111" s="152" t="s">
        <v>3</v>
      </c>
      <c r="AQ111" s="152" t="s">
        <v>3</v>
      </c>
      <c r="AR111" s="152" t="s">
        <v>3</v>
      </c>
      <c r="AS111" s="153" t="s">
        <v>3</v>
      </c>
      <c r="AT111" s="153" t="s">
        <v>3</v>
      </c>
      <c r="AU111" s="153" t="s">
        <v>3</v>
      </c>
      <c r="AV111" s="153" t="s">
        <v>3</v>
      </c>
      <c r="AW111" s="154" t="s">
        <v>3</v>
      </c>
      <c r="AX111" s="154" t="s">
        <v>3</v>
      </c>
      <c r="AY111" s="155" t="s">
        <v>3</v>
      </c>
      <c r="AZ111" s="155" t="s">
        <v>3</v>
      </c>
      <c r="BA111" s="156" t="s">
        <v>3</v>
      </c>
    </row>
    <row r="112" spans="1:53" x14ac:dyDescent="0.25">
      <c r="A112" s="38">
        <v>109</v>
      </c>
      <c r="B112" s="139" t="s">
        <v>112</v>
      </c>
      <c r="C112" s="38" t="s">
        <v>138</v>
      </c>
      <c r="D112" s="38" t="s">
        <v>229</v>
      </c>
      <c r="E112" s="48">
        <v>339.15033299999999</v>
      </c>
      <c r="F112" s="140" t="s">
        <v>3</v>
      </c>
      <c r="G112" s="140" t="s">
        <v>3</v>
      </c>
      <c r="H112" s="140" t="s">
        <v>3</v>
      </c>
      <c r="I112" s="160" t="s">
        <v>3</v>
      </c>
      <c r="J112" s="160" t="s">
        <v>3</v>
      </c>
      <c r="K112" s="143" t="s">
        <v>3</v>
      </c>
      <c r="L112" s="145" t="s">
        <v>3</v>
      </c>
      <c r="M112" s="145">
        <v>6.1079999999999997</v>
      </c>
      <c r="N112" s="145">
        <v>6.18</v>
      </c>
      <c r="O112" s="145">
        <v>6.1740000000000004</v>
      </c>
      <c r="P112" s="145">
        <v>6.1539999999999999</v>
      </c>
      <c r="Q112" s="145">
        <v>6.2030000000000003</v>
      </c>
      <c r="R112" s="145">
        <v>6.2430000000000003</v>
      </c>
      <c r="S112" s="145">
        <v>6.22</v>
      </c>
      <c r="T112" s="145" t="s">
        <v>3</v>
      </c>
      <c r="U112" s="145">
        <v>6.2240000000000002</v>
      </c>
      <c r="V112" s="145">
        <v>6.1790000000000003</v>
      </c>
      <c r="W112" s="157" t="s">
        <v>3</v>
      </c>
      <c r="X112" s="157" t="s">
        <v>3</v>
      </c>
      <c r="Y112" s="157" t="s">
        <v>3</v>
      </c>
      <c r="Z112" s="158" t="s">
        <v>3</v>
      </c>
      <c r="AA112" s="163" t="s">
        <v>3</v>
      </c>
      <c r="AB112" s="163" t="s">
        <v>3</v>
      </c>
      <c r="AC112" s="159" t="s">
        <v>3</v>
      </c>
      <c r="AD112" s="159" t="s">
        <v>3</v>
      </c>
      <c r="AE112" s="150">
        <v>6.4939999999999998</v>
      </c>
      <c r="AF112" s="150">
        <v>6.4749999999999996</v>
      </c>
      <c r="AG112" s="150" t="s">
        <v>3</v>
      </c>
      <c r="AH112" s="150" t="s">
        <v>3</v>
      </c>
      <c r="AI112" s="151" t="s">
        <v>3</v>
      </c>
      <c r="AJ112" s="151" t="s">
        <v>3</v>
      </c>
      <c r="AK112" s="151" t="s">
        <v>3</v>
      </c>
      <c r="AL112" s="161">
        <v>7.3561833333333304</v>
      </c>
      <c r="AM112" s="161" t="s">
        <v>3</v>
      </c>
      <c r="AN112" s="152" t="s">
        <v>3</v>
      </c>
      <c r="AO112" s="152" t="s">
        <v>3</v>
      </c>
      <c r="AP112" s="152" t="s">
        <v>3</v>
      </c>
      <c r="AQ112" s="152" t="s">
        <v>3</v>
      </c>
      <c r="AR112" s="152" t="s">
        <v>3</v>
      </c>
      <c r="AS112" s="153" t="s">
        <v>3</v>
      </c>
      <c r="AT112" s="153" t="s">
        <v>3</v>
      </c>
      <c r="AU112" s="153" t="s">
        <v>3</v>
      </c>
      <c r="AV112" s="153" t="s">
        <v>3</v>
      </c>
      <c r="AW112" s="154" t="s">
        <v>3</v>
      </c>
      <c r="AX112" s="154" t="s">
        <v>3</v>
      </c>
      <c r="AY112" s="155" t="s">
        <v>3</v>
      </c>
      <c r="AZ112" s="155" t="s">
        <v>3</v>
      </c>
      <c r="BA112" s="156">
        <v>5.34</v>
      </c>
    </row>
    <row r="113" spans="1:53" x14ac:dyDescent="0.25">
      <c r="A113" s="38">
        <v>110</v>
      </c>
      <c r="B113" s="139" t="s">
        <v>113</v>
      </c>
      <c r="C113" s="38" t="s">
        <v>138</v>
      </c>
      <c r="D113" s="38" t="s">
        <v>230</v>
      </c>
      <c r="E113" s="48">
        <v>267.17031900000001</v>
      </c>
      <c r="F113" s="141">
        <f>727.853/60</f>
        <v>12.130883333333333</v>
      </c>
      <c r="G113" s="141">
        <v>12.129949999999999</v>
      </c>
      <c r="H113" s="140">
        <v>12.114000000000001</v>
      </c>
      <c r="I113" s="160" t="s">
        <v>3</v>
      </c>
      <c r="J113" s="160" t="s">
        <v>3</v>
      </c>
      <c r="K113" s="143" t="s">
        <v>3</v>
      </c>
      <c r="L113" s="145" t="s">
        <v>3</v>
      </c>
      <c r="M113" s="145">
        <v>2.4009999999999998</v>
      </c>
      <c r="N113" s="145">
        <v>2.3879999999999999</v>
      </c>
      <c r="O113" s="145">
        <v>2.4369999999999998</v>
      </c>
      <c r="P113" s="145">
        <v>2.395</v>
      </c>
      <c r="Q113" s="145">
        <v>2.4449999999999998</v>
      </c>
      <c r="R113" s="145">
        <v>2.6680000000000001</v>
      </c>
      <c r="S113" s="145">
        <v>2.411</v>
      </c>
      <c r="T113" s="145">
        <v>2.4390000000000001</v>
      </c>
      <c r="U113" s="145">
        <v>2.4420000000000002</v>
      </c>
      <c r="V113" s="145">
        <v>2.4369999999999998</v>
      </c>
      <c r="W113" s="157">
        <v>2.0270000000000001</v>
      </c>
      <c r="X113" s="157">
        <v>2.0419999999999998</v>
      </c>
      <c r="Y113" s="157" t="s">
        <v>3</v>
      </c>
      <c r="Z113" s="158" t="s">
        <v>3</v>
      </c>
      <c r="AA113" s="163">
        <v>2.3889999999999998</v>
      </c>
      <c r="AB113" s="163" t="s">
        <v>3</v>
      </c>
      <c r="AC113" s="159" t="s">
        <v>3</v>
      </c>
      <c r="AD113" s="159" t="s">
        <v>3</v>
      </c>
      <c r="AE113" s="150">
        <v>3.1280000000000001</v>
      </c>
      <c r="AF113" s="150">
        <v>3.1419999999999999</v>
      </c>
      <c r="AG113" s="150" t="s">
        <v>3</v>
      </c>
      <c r="AH113" s="150" t="s">
        <v>3</v>
      </c>
      <c r="AI113" s="151" t="s">
        <v>3</v>
      </c>
      <c r="AJ113" s="161">
        <v>2.6166</v>
      </c>
      <c r="AK113" s="161">
        <v>2.3588166666666699</v>
      </c>
      <c r="AL113" s="161">
        <v>2.2515833333333299</v>
      </c>
      <c r="AM113" s="161" t="s">
        <v>3</v>
      </c>
      <c r="AN113" s="152" t="s">
        <v>3</v>
      </c>
      <c r="AO113" s="152" t="s">
        <v>3</v>
      </c>
      <c r="AP113" s="152" t="s">
        <v>3</v>
      </c>
      <c r="AQ113" s="152" t="s">
        <v>3</v>
      </c>
      <c r="AR113" s="152" t="s">
        <v>3</v>
      </c>
      <c r="AS113" s="153" t="s">
        <v>3</v>
      </c>
      <c r="AT113" s="153">
        <v>10.613</v>
      </c>
      <c r="AU113" s="153" t="s">
        <v>3</v>
      </c>
      <c r="AV113" s="153">
        <v>11.272</v>
      </c>
      <c r="AW113" s="154" t="s">
        <v>3</v>
      </c>
      <c r="AX113" s="154" t="s">
        <v>3</v>
      </c>
      <c r="AY113" s="155">
        <v>3.23</v>
      </c>
      <c r="AZ113" s="155">
        <v>3.2122299999999999</v>
      </c>
      <c r="BA113" s="156">
        <v>2.2400000000000002</v>
      </c>
    </row>
    <row r="114" spans="1:53" x14ac:dyDescent="0.25">
      <c r="A114" s="38">
        <v>111</v>
      </c>
      <c r="B114" s="139" t="s">
        <v>121</v>
      </c>
      <c r="C114" s="38" t="s">
        <v>138</v>
      </c>
      <c r="D114" s="38" t="s">
        <v>231</v>
      </c>
      <c r="E114" s="48">
        <v>268.19072</v>
      </c>
      <c r="F114" s="140" t="s">
        <v>3</v>
      </c>
      <c r="G114" s="140" t="s">
        <v>3</v>
      </c>
      <c r="H114" s="140" t="s">
        <v>3</v>
      </c>
      <c r="I114" s="160" t="s">
        <v>3</v>
      </c>
      <c r="J114" s="160" t="s">
        <v>3</v>
      </c>
      <c r="K114" s="164">
        <v>17.308</v>
      </c>
      <c r="L114" s="145" t="s">
        <v>3</v>
      </c>
      <c r="M114" s="145">
        <v>4.8209999999999997</v>
      </c>
      <c r="N114" s="145">
        <v>4.7869999999999999</v>
      </c>
      <c r="O114" s="145">
        <v>4.8310000000000004</v>
      </c>
      <c r="P114" s="145">
        <v>4.8070000000000004</v>
      </c>
      <c r="Q114" s="145">
        <v>4.859</v>
      </c>
      <c r="R114" s="145">
        <v>4.9329999999999998</v>
      </c>
      <c r="S114" s="145">
        <v>4.8109999999999999</v>
      </c>
      <c r="T114" s="145">
        <v>4.9210000000000003</v>
      </c>
      <c r="U114" s="145">
        <v>4.8310000000000004</v>
      </c>
      <c r="V114" s="145">
        <v>4.8440000000000003</v>
      </c>
      <c r="W114" s="157">
        <v>5.0369999999999999</v>
      </c>
      <c r="X114" s="157">
        <v>4.9560000000000004</v>
      </c>
      <c r="Y114" s="157" t="s">
        <v>3</v>
      </c>
      <c r="Z114" s="158">
        <v>5.26</v>
      </c>
      <c r="AA114" s="163">
        <v>5.3550000000000004</v>
      </c>
      <c r="AB114" s="163" t="s">
        <v>3</v>
      </c>
      <c r="AC114" s="159">
        <v>5.0220000000000002</v>
      </c>
      <c r="AD114" s="159" t="s">
        <v>3</v>
      </c>
      <c r="AE114" s="150">
        <v>4.9779999999999998</v>
      </c>
      <c r="AF114" s="150">
        <v>4.992</v>
      </c>
      <c r="AG114" s="150">
        <v>4.944</v>
      </c>
      <c r="AH114" s="150" t="s">
        <v>3</v>
      </c>
      <c r="AI114" s="151">
        <v>5.5460000000000003</v>
      </c>
      <c r="AJ114" s="161">
        <v>6.6</v>
      </c>
      <c r="AK114" s="161">
        <v>5.798</v>
      </c>
      <c r="AL114" s="161">
        <v>5.5140000000000002</v>
      </c>
      <c r="AM114" s="161" t="s">
        <v>3</v>
      </c>
      <c r="AN114" s="162">
        <v>3.9596827030181898</v>
      </c>
      <c r="AO114" s="152" t="s">
        <v>3</v>
      </c>
      <c r="AP114" s="152" t="s">
        <v>3</v>
      </c>
      <c r="AQ114" s="152" t="s">
        <v>3</v>
      </c>
      <c r="AR114" s="152" t="s">
        <v>3</v>
      </c>
      <c r="AS114" s="153" t="s">
        <v>3</v>
      </c>
      <c r="AT114" s="153">
        <v>14.611000000000001</v>
      </c>
      <c r="AU114" s="153" t="s">
        <v>3</v>
      </c>
      <c r="AV114" s="153">
        <v>15.192</v>
      </c>
      <c r="AW114" s="154" t="s">
        <v>3</v>
      </c>
      <c r="AX114" s="154" t="s">
        <v>3</v>
      </c>
      <c r="AY114" s="155" t="s">
        <v>3</v>
      </c>
      <c r="AZ114" s="155">
        <v>6.9081200000000003</v>
      </c>
      <c r="BA114" s="156">
        <v>4.34</v>
      </c>
    </row>
    <row r="115" spans="1:53" x14ac:dyDescent="0.25">
      <c r="A115" s="38">
        <v>112</v>
      </c>
      <c r="B115" s="139" t="s">
        <v>104</v>
      </c>
      <c r="C115" s="38" t="s">
        <v>138</v>
      </c>
      <c r="D115" s="38" t="s">
        <v>232</v>
      </c>
      <c r="E115" s="48">
        <v>268.154335</v>
      </c>
      <c r="F115" s="140" t="s">
        <v>3</v>
      </c>
      <c r="G115" s="140" t="s">
        <v>3</v>
      </c>
      <c r="H115" s="140" t="s">
        <v>3</v>
      </c>
      <c r="I115" s="160" t="s">
        <v>3</v>
      </c>
      <c r="J115" s="160" t="s">
        <v>3</v>
      </c>
      <c r="K115" s="143" t="s">
        <v>3</v>
      </c>
      <c r="L115" s="145" t="s">
        <v>3</v>
      </c>
      <c r="M115" s="145">
        <v>3.7210000000000001</v>
      </c>
      <c r="N115" s="145">
        <v>3.6960000000000002</v>
      </c>
      <c r="O115" s="145">
        <v>3.7410000000000001</v>
      </c>
      <c r="P115" s="145">
        <v>3.7589999999999999</v>
      </c>
      <c r="Q115" s="145">
        <v>3.7589999999999999</v>
      </c>
      <c r="R115" s="145">
        <v>3.8839999999999999</v>
      </c>
      <c r="S115" s="145">
        <v>3.7160000000000002</v>
      </c>
      <c r="T115" s="145">
        <v>3.782</v>
      </c>
      <c r="U115" s="145">
        <v>3.742</v>
      </c>
      <c r="V115" s="145">
        <v>3.7450000000000001</v>
      </c>
      <c r="W115" s="157">
        <v>3.76</v>
      </c>
      <c r="X115" s="157">
        <v>3.7040000000000002</v>
      </c>
      <c r="Y115" s="157" t="s">
        <v>3</v>
      </c>
      <c r="Z115" s="158">
        <v>4.0220000000000002</v>
      </c>
      <c r="AA115" s="163">
        <v>4.0869999999999997</v>
      </c>
      <c r="AB115" s="163" t="s">
        <v>3</v>
      </c>
      <c r="AC115" s="159">
        <v>3.72</v>
      </c>
      <c r="AD115" s="159" t="s">
        <v>3</v>
      </c>
      <c r="AE115" s="150">
        <v>3.8279999999999998</v>
      </c>
      <c r="AF115" s="150">
        <v>3.8079999999999998</v>
      </c>
      <c r="AG115" s="150">
        <v>3.827</v>
      </c>
      <c r="AH115" s="150" t="s">
        <v>3</v>
      </c>
      <c r="AI115" s="151">
        <v>3.4295666666666702</v>
      </c>
      <c r="AJ115" s="161">
        <v>3.62456666666667</v>
      </c>
      <c r="AK115" s="161">
        <v>3.4715166666666701</v>
      </c>
      <c r="AL115" s="161">
        <v>3.5274666666666699</v>
      </c>
      <c r="AM115" s="161" t="s">
        <v>3</v>
      </c>
      <c r="AN115" s="152" t="s">
        <v>3</v>
      </c>
      <c r="AO115" s="152" t="s">
        <v>3</v>
      </c>
      <c r="AP115" s="152" t="s">
        <v>3</v>
      </c>
      <c r="AQ115" s="152" t="s">
        <v>3</v>
      </c>
      <c r="AR115" s="152" t="s">
        <v>3</v>
      </c>
      <c r="AS115" s="153">
        <v>12.927</v>
      </c>
      <c r="AT115" s="153">
        <v>12.317</v>
      </c>
      <c r="AU115" s="153">
        <v>12.882999999999999</v>
      </c>
      <c r="AV115" s="153">
        <v>12.951000000000001</v>
      </c>
      <c r="AW115" s="154" t="s">
        <v>3</v>
      </c>
      <c r="AX115" s="154" t="s">
        <v>3</v>
      </c>
      <c r="AY115" s="155" t="s">
        <v>3</v>
      </c>
      <c r="AZ115" s="155" t="s">
        <v>3</v>
      </c>
      <c r="BA115" s="156" t="s">
        <v>3</v>
      </c>
    </row>
    <row r="116" spans="1:53" x14ac:dyDescent="0.25">
      <c r="A116" s="38">
        <v>113</v>
      </c>
      <c r="B116" s="139" t="s">
        <v>114</v>
      </c>
      <c r="C116" s="38" t="s">
        <v>138</v>
      </c>
      <c r="D116" s="38" t="s">
        <v>233</v>
      </c>
      <c r="E116" s="48">
        <v>216.10104999999999</v>
      </c>
      <c r="F116" s="140" t="s">
        <v>3</v>
      </c>
      <c r="G116" s="140" t="s">
        <v>3</v>
      </c>
      <c r="H116" s="140" t="s">
        <v>3</v>
      </c>
      <c r="I116" s="160" t="s">
        <v>3</v>
      </c>
      <c r="J116" s="160" t="s">
        <v>3</v>
      </c>
      <c r="K116" s="143" t="s">
        <v>3</v>
      </c>
      <c r="L116" s="145" t="s">
        <v>3</v>
      </c>
      <c r="M116" s="145">
        <v>8.3559999999999999</v>
      </c>
      <c r="N116" s="145">
        <v>8.34</v>
      </c>
      <c r="O116" s="145">
        <v>8.3729999999999993</v>
      </c>
      <c r="P116" s="145" t="s">
        <v>3</v>
      </c>
      <c r="Q116" s="145" t="s">
        <v>3</v>
      </c>
      <c r="R116" s="145" t="s">
        <v>3</v>
      </c>
      <c r="S116" s="145" t="s">
        <v>3</v>
      </c>
      <c r="T116" s="145" t="s">
        <v>3</v>
      </c>
      <c r="U116" s="145" t="s">
        <v>3</v>
      </c>
      <c r="V116" s="145" t="s">
        <v>3</v>
      </c>
      <c r="W116" s="157">
        <v>8.375</v>
      </c>
      <c r="X116" s="157">
        <v>8.327</v>
      </c>
      <c r="Y116" s="157" t="s">
        <v>3</v>
      </c>
      <c r="Z116" s="158">
        <v>8.6199999999999992</v>
      </c>
      <c r="AA116" s="163">
        <v>8.6649999999999991</v>
      </c>
      <c r="AB116" s="163" t="s">
        <v>3</v>
      </c>
      <c r="AC116" s="159">
        <v>8.2959999999999994</v>
      </c>
      <c r="AD116" s="159" t="s">
        <v>3</v>
      </c>
      <c r="AE116" s="150" t="s">
        <v>3</v>
      </c>
      <c r="AF116" s="150" t="s">
        <v>3</v>
      </c>
      <c r="AG116" s="150" t="s">
        <v>3</v>
      </c>
      <c r="AH116" s="150" t="s">
        <v>3</v>
      </c>
      <c r="AI116" s="151" t="s">
        <v>3</v>
      </c>
      <c r="AJ116" s="151" t="s">
        <v>3</v>
      </c>
      <c r="AK116" s="151" t="s">
        <v>3</v>
      </c>
      <c r="AL116" s="151" t="s">
        <v>3</v>
      </c>
      <c r="AM116" s="151" t="s">
        <v>3</v>
      </c>
      <c r="AN116" s="152" t="s">
        <v>3</v>
      </c>
      <c r="AO116" s="152" t="s">
        <v>3</v>
      </c>
      <c r="AP116" s="152" t="s">
        <v>3</v>
      </c>
      <c r="AQ116" s="152" t="s">
        <v>3</v>
      </c>
      <c r="AR116" s="152" t="s">
        <v>3</v>
      </c>
      <c r="AS116" s="153" t="s">
        <v>3</v>
      </c>
      <c r="AT116" s="153" t="s">
        <v>3</v>
      </c>
      <c r="AU116" s="153" t="s">
        <v>3</v>
      </c>
      <c r="AV116" s="153" t="s">
        <v>3</v>
      </c>
      <c r="AW116" s="154" t="s">
        <v>3</v>
      </c>
      <c r="AX116" s="154" t="s">
        <v>3</v>
      </c>
      <c r="AY116" s="155" t="s">
        <v>3</v>
      </c>
      <c r="AZ116" s="155" t="s">
        <v>3</v>
      </c>
      <c r="BA116" s="156" t="s">
        <v>3</v>
      </c>
    </row>
    <row r="117" spans="1:53" x14ac:dyDescent="0.25">
      <c r="A117" s="38">
        <v>114</v>
      </c>
      <c r="B117" s="139" t="s">
        <v>1</v>
      </c>
      <c r="C117" s="38" t="s">
        <v>138</v>
      </c>
      <c r="D117" s="38" t="s">
        <v>234</v>
      </c>
      <c r="E117" s="48">
        <v>198.13493700000001</v>
      </c>
      <c r="F117" s="140" t="s">
        <v>3</v>
      </c>
      <c r="G117" s="140" t="s">
        <v>3</v>
      </c>
      <c r="H117" s="140" t="s">
        <v>3</v>
      </c>
      <c r="I117" s="160" t="s">
        <v>3</v>
      </c>
      <c r="J117" s="160" t="s">
        <v>3</v>
      </c>
      <c r="K117" s="143" t="s">
        <v>3</v>
      </c>
      <c r="L117" s="145" t="s">
        <v>3</v>
      </c>
      <c r="M117" s="145">
        <v>4.1719999999999997</v>
      </c>
      <c r="N117" s="145">
        <v>4.1909999999999998</v>
      </c>
      <c r="O117" s="145" t="s">
        <v>3</v>
      </c>
      <c r="P117" s="145" t="s">
        <v>3</v>
      </c>
      <c r="Q117" s="145">
        <v>4.21</v>
      </c>
      <c r="R117" s="145" t="s">
        <v>3</v>
      </c>
      <c r="S117" s="145" t="s">
        <v>3</v>
      </c>
      <c r="T117" s="145">
        <v>4.3289999999999997</v>
      </c>
      <c r="U117" s="145" t="s">
        <v>3</v>
      </c>
      <c r="V117" s="145">
        <v>4.2510000000000003</v>
      </c>
      <c r="W117" s="157">
        <v>4.3789999999999996</v>
      </c>
      <c r="X117" s="157">
        <v>4.2930000000000001</v>
      </c>
      <c r="Y117" s="157" t="s">
        <v>3</v>
      </c>
      <c r="Z117" s="158">
        <v>4.5960000000000001</v>
      </c>
      <c r="AA117" s="163">
        <v>4.6909999999999998</v>
      </c>
      <c r="AB117" s="163" t="s">
        <v>3</v>
      </c>
      <c r="AC117" s="159">
        <v>4.3440000000000003</v>
      </c>
      <c r="AD117" s="159" t="s">
        <v>3</v>
      </c>
      <c r="AE117" s="150" t="s">
        <v>3</v>
      </c>
      <c r="AF117" s="150" t="s">
        <v>3</v>
      </c>
      <c r="AG117" s="150" t="s">
        <v>3</v>
      </c>
      <c r="AH117" s="150" t="s">
        <v>3</v>
      </c>
      <c r="AI117" s="151">
        <v>2.95176666666667</v>
      </c>
      <c r="AJ117" s="151" t="s">
        <v>3</v>
      </c>
      <c r="AK117" s="151" t="s">
        <v>3</v>
      </c>
      <c r="AL117" s="151" t="s">
        <v>3</v>
      </c>
      <c r="AM117" s="151" t="s">
        <v>3</v>
      </c>
      <c r="AN117" s="152" t="s">
        <v>3</v>
      </c>
      <c r="AO117" s="152" t="s">
        <v>3</v>
      </c>
      <c r="AP117" s="152" t="s">
        <v>3</v>
      </c>
      <c r="AQ117" s="152" t="s">
        <v>3</v>
      </c>
      <c r="AR117" s="152" t="s">
        <v>3</v>
      </c>
      <c r="AS117" s="153">
        <v>13.565</v>
      </c>
      <c r="AT117" s="153">
        <v>12.907999999999999</v>
      </c>
      <c r="AU117" s="153">
        <v>13.487</v>
      </c>
      <c r="AV117" s="153">
        <v>13.53</v>
      </c>
      <c r="AW117" s="154" t="s">
        <v>3</v>
      </c>
      <c r="AX117" s="154" t="s">
        <v>3</v>
      </c>
      <c r="AY117" s="155" t="s">
        <v>3</v>
      </c>
      <c r="AZ117" s="155" t="s">
        <v>3</v>
      </c>
      <c r="BA117" s="156" t="s">
        <v>3</v>
      </c>
    </row>
    <row r="118" spans="1:53" x14ac:dyDescent="0.25">
      <c r="A118" s="38">
        <v>115</v>
      </c>
      <c r="B118" s="139" t="s">
        <v>1</v>
      </c>
      <c r="C118" s="38" t="s">
        <v>139</v>
      </c>
      <c r="D118" s="38" t="s">
        <v>234</v>
      </c>
      <c r="E118" s="48">
        <v>196.120384</v>
      </c>
      <c r="F118" s="140" t="s">
        <v>564</v>
      </c>
      <c r="G118" s="140" t="s">
        <v>564</v>
      </c>
      <c r="H118" s="140" t="s">
        <v>564</v>
      </c>
      <c r="I118" s="160" t="s">
        <v>3</v>
      </c>
      <c r="J118" s="160" t="s">
        <v>3</v>
      </c>
      <c r="K118" s="143" t="s">
        <v>3</v>
      </c>
      <c r="L118" s="145" t="s">
        <v>3</v>
      </c>
      <c r="M118" s="145">
        <v>4.2370000000000001</v>
      </c>
      <c r="N118" s="145">
        <v>4.1929999999999996</v>
      </c>
      <c r="O118" s="145">
        <v>4.2329999999999997</v>
      </c>
      <c r="P118" s="145">
        <v>4.2270000000000003</v>
      </c>
      <c r="Q118" s="145">
        <v>4.2290000000000001</v>
      </c>
      <c r="R118" s="145">
        <v>4.1879999999999997</v>
      </c>
      <c r="S118" s="145">
        <v>4.1849999999999996</v>
      </c>
      <c r="T118" s="145">
        <v>4.2839999999999998</v>
      </c>
      <c r="U118" s="145">
        <v>4.2279999999999998</v>
      </c>
      <c r="V118" s="145">
        <v>4.194</v>
      </c>
      <c r="W118" s="146" t="s">
        <v>564</v>
      </c>
      <c r="X118" s="146" t="s">
        <v>564</v>
      </c>
      <c r="Y118" s="146" t="s">
        <v>564</v>
      </c>
      <c r="Z118" s="158" t="s">
        <v>3</v>
      </c>
      <c r="AA118" s="163">
        <v>4.6900000000000004</v>
      </c>
      <c r="AB118" s="163" t="s">
        <v>3</v>
      </c>
      <c r="AC118" s="159">
        <v>4.3520000000000003</v>
      </c>
      <c r="AD118" s="159" t="s">
        <v>3</v>
      </c>
      <c r="AE118" s="150" t="s">
        <v>3</v>
      </c>
      <c r="AF118" s="150" t="s">
        <v>3</v>
      </c>
      <c r="AG118" s="150" t="s">
        <v>3</v>
      </c>
      <c r="AH118" s="150" t="s">
        <v>3</v>
      </c>
      <c r="AI118" s="151" t="s">
        <v>3</v>
      </c>
      <c r="AJ118" s="151" t="s">
        <v>564</v>
      </c>
      <c r="AK118" s="151" t="s">
        <v>3</v>
      </c>
      <c r="AL118" s="151" t="s">
        <v>3</v>
      </c>
      <c r="AM118" s="151" t="s">
        <v>564</v>
      </c>
      <c r="AN118" s="152" t="s">
        <v>564</v>
      </c>
      <c r="AO118" s="152" t="s">
        <v>564</v>
      </c>
      <c r="AP118" s="152" t="s">
        <v>564</v>
      </c>
      <c r="AQ118" s="152" t="s">
        <v>564</v>
      </c>
      <c r="AR118" s="152" t="s">
        <v>564</v>
      </c>
      <c r="AS118" s="153" t="s">
        <v>3</v>
      </c>
      <c r="AT118" s="153" t="s">
        <v>3</v>
      </c>
      <c r="AU118" s="153" t="s">
        <v>3</v>
      </c>
      <c r="AV118" s="153" t="s">
        <v>3</v>
      </c>
      <c r="AW118" s="154" t="s">
        <v>3</v>
      </c>
      <c r="AX118" s="154" t="s">
        <v>3</v>
      </c>
      <c r="AY118" s="155" t="s">
        <v>3</v>
      </c>
      <c r="AZ118" s="155" t="s">
        <v>3</v>
      </c>
      <c r="BA118" s="156" t="s">
        <v>3</v>
      </c>
    </row>
    <row r="119" spans="1:53" x14ac:dyDescent="0.25">
      <c r="A119" s="38">
        <v>116</v>
      </c>
      <c r="B119" s="139" t="s">
        <v>49</v>
      </c>
      <c r="C119" s="38" t="s">
        <v>138</v>
      </c>
      <c r="D119" s="38" t="s">
        <v>235</v>
      </c>
      <c r="E119" s="48">
        <v>296.02395999999999</v>
      </c>
      <c r="F119" s="141">
        <f>672.6/60</f>
        <v>11.21</v>
      </c>
      <c r="G119" s="141">
        <v>11.195</v>
      </c>
      <c r="H119" s="140" t="s">
        <v>3</v>
      </c>
      <c r="I119" s="160" t="s">
        <v>3</v>
      </c>
      <c r="J119" s="160" t="s">
        <v>3</v>
      </c>
      <c r="K119" s="143" t="s">
        <v>3</v>
      </c>
      <c r="L119" s="145" t="s">
        <v>3</v>
      </c>
      <c r="M119" s="145">
        <v>13.15</v>
      </c>
      <c r="N119" s="145">
        <v>13.054</v>
      </c>
      <c r="O119" s="145">
        <v>13.073</v>
      </c>
      <c r="P119" s="145">
        <v>13.058</v>
      </c>
      <c r="Q119" s="145">
        <v>13.083</v>
      </c>
      <c r="R119" s="145">
        <v>13.211</v>
      </c>
      <c r="S119" s="145">
        <v>13.041</v>
      </c>
      <c r="T119" s="145">
        <v>13.125999999999999</v>
      </c>
      <c r="U119" s="145">
        <v>13.109</v>
      </c>
      <c r="V119" s="145">
        <v>13.111000000000001</v>
      </c>
      <c r="W119" s="157">
        <v>12.779</v>
      </c>
      <c r="X119" s="157">
        <v>12.711</v>
      </c>
      <c r="Y119" s="157" t="s">
        <v>3</v>
      </c>
      <c r="Z119" s="158" t="s">
        <v>3</v>
      </c>
      <c r="AA119" s="163">
        <v>13.087</v>
      </c>
      <c r="AB119" s="163">
        <v>13.07</v>
      </c>
      <c r="AC119" s="159">
        <v>12.746</v>
      </c>
      <c r="AD119" s="159" t="s">
        <v>3</v>
      </c>
      <c r="AE119" s="150">
        <v>10.477</v>
      </c>
      <c r="AF119" s="150">
        <v>10.441000000000001</v>
      </c>
      <c r="AG119" s="150" t="s">
        <v>3</v>
      </c>
      <c r="AH119" s="150" t="s">
        <v>3</v>
      </c>
      <c r="AI119" s="151" t="s">
        <v>3</v>
      </c>
      <c r="AJ119" s="161">
        <v>12.281283333333301</v>
      </c>
      <c r="AK119" s="161">
        <v>12.2708833333333</v>
      </c>
      <c r="AL119" s="161">
        <v>12.2397333333333</v>
      </c>
      <c r="AM119" s="161" t="s">
        <v>3</v>
      </c>
      <c r="AN119" s="152" t="s">
        <v>3</v>
      </c>
      <c r="AO119" s="152" t="s">
        <v>3</v>
      </c>
      <c r="AP119" s="152" t="s">
        <v>3</v>
      </c>
      <c r="AQ119" s="152" t="s">
        <v>3</v>
      </c>
      <c r="AR119" s="152" t="s">
        <v>3</v>
      </c>
      <c r="AS119" s="153" t="s">
        <v>3</v>
      </c>
      <c r="AT119" s="153" t="s">
        <v>3</v>
      </c>
      <c r="AU119" s="153" t="s">
        <v>3</v>
      </c>
      <c r="AV119" s="153" t="s">
        <v>3</v>
      </c>
      <c r="AW119" s="154" t="s">
        <v>3</v>
      </c>
      <c r="AX119" s="154" t="s">
        <v>3</v>
      </c>
      <c r="AY119" s="155" t="s">
        <v>3</v>
      </c>
      <c r="AZ119" s="155">
        <v>10.03842</v>
      </c>
      <c r="BA119" s="156">
        <v>8.66</v>
      </c>
    </row>
    <row r="120" spans="1:53" x14ac:dyDescent="0.25">
      <c r="A120" s="38">
        <v>117</v>
      </c>
      <c r="B120" s="139" t="s">
        <v>49</v>
      </c>
      <c r="C120" s="38" t="s">
        <v>139</v>
      </c>
      <c r="D120" s="38" t="s">
        <v>235</v>
      </c>
      <c r="E120" s="48">
        <v>294.00940800000001</v>
      </c>
      <c r="F120" s="140" t="s">
        <v>564</v>
      </c>
      <c r="G120" s="140" t="s">
        <v>564</v>
      </c>
      <c r="H120" s="140" t="s">
        <v>564</v>
      </c>
      <c r="I120" s="142">
        <v>22.525666666666702</v>
      </c>
      <c r="J120" s="142">
        <v>22.517333333333301</v>
      </c>
      <c r="K120" s="164">
        <v>40.689</v>
      </c>
      <c r="L120" s="145" t="s">
        <v>3</v>
      </c>
      <c r="M120" s="145">
        <v>13.202999999999999</v>
      </c>
      <c r="N120" s="145">
        <v>13.183</v>
      </c>
      <c r="O120" s="145">
        <v>13.214</v>
      </c>
      <c r="P120" s="145">
        <v>13.167999999999999</v>
      </c>
      <c r="Q120" s="145">
        <v>13.166</v>
      </c>
      <c r="R120" s="145">
        <v>13.156000000000001</v>
      </c>
      <c r="S120" s="145">
        <v>13.172000000000001</v>
      </c>
      <c r="T120" s="145">
        <v>13.215</v>
      </c>
      <c r="U120" s="145">
        <v>13.205</v>
      </c>
      <c r="V120" s="145">
        <v>13.196999999999999</v>
      </c>
      <c r="W120" s="146" t="s">
        <v>564</v>
      </c>
      <c r="X120" s="146" t="s">
        <v>564</v>
      </c>
      <c r="Y120" s="146" t="s">
        <v>564</v>
      </c>
      <c r="Z120" s="158" t="s">
        <v>3</v>
      </c>
      <c r="AA120" s="163">
        <v>13.111000000000001</v>
      </c>
      <c r="AB120" s="163" t="s">
        <v>3</v>
      </c>
      <c r="AC120" s="159">
        <v>12.742000000000001</v>
      </c>
      <c r="AD120" s="159" t="s">
        <v>3</v>
      </c>
      <c r="AE120" s="150">
        <v>8.2569999999999997</v>
      </c>
      <c r="AF120" s="150">
        <v>8.1910000000000007</v>
      </c>
      <c r="AG120" s="150" t="s">
        <v>3</v>
      </c>
      <c r="AH120" s="150" t="s">
        <v>3</v>
      </c>
      <c r="AI120" s="151" t="s">
        <v>3</v>
      </c>
      <c r="AJ120" s="151" t="s">
        <v>564</v>
      </c>
      <c r="AK120" s="161">
        <v>12.218633333333299</v>
      </c>
      <c r="AL120" s="161">
        <v>12.2258833333333</v>
      </c>
      <c r="AM120" s="151" t="s">
        <v>564</v>
      </c>
      <c r="AN120" s="152" t="s">
        <v>564</v>
      </c>
      <c r="AO120" s="152" t="s">
        <v>564</v>
      </c>
      <c r="AP120" s="152" t="s">
        <v>564</v>
      </c>
      <c r="AQ120" s="152" t="s">
        <v>564</v>
      </c>
      <c r="AR120" s="152" t="s">
        <v>564</v>
      </c>
      <c r="AS120" s="153" t="s">
        <v>3</v>
      </c>
      <c r="AT120" s="153">
        <v>26.437999999999999</v>
      </c>
      <c r="AU120" s="153" t="s">
        <v>3</v>
      </c>
      <c r="AV120" s="153" t="s">
        <v>3</v>
      </c>
      <c r="AW120" s="154" t="s">
        <v>3</v>
      </c>
      <c r="AX120" s="154" t="s">
        <v>3</v>
      </c>
      <c r="AY120" s="155" t="s">
        <v>3</v>
      </c>
      <c r="AZ120" s="155" t="s">
        <v>3</v>
      </c>
      <c r="BA120" s="156">
        <v>6.9483300000000003</v>
      </c>
    </row>
    <row r="121" spans="1:53" x14ac:dyDescent="0.25">
      <c r="A121" s="38">
        <v>118</v>
      </c>
      <c r="B121" s="139" t="s">
        <v>119</v>
      </c>
      <c r="C121" s="38" t="s">
        <v>138</v>
      </c>
      <c r="D121" s="38" t="s">
        <v>236</v>
      </c>
      <c r="E121" s="48">
        <v>207.14919</v>
      </c>
      <c r="F121" s="140" t="s">
        <v>3</v>
      </c>
      <c r="G121" s="140" t="s">
        <v>3</v>
      </c>
      <c r="H121" s="140" t="s">
        <v>3</v>
      </c>
      <c r="I121" s="160" t="s">
        <v>3</v>
      </c>
      <c r="J121" s="142">
        <v>17.102333333333299</v>
      </c>
      <c r="K121" s="164">
        <v>32.574833333333302</v>
      </c>
      <c r="L121" s="145" t="s">
        <v>3</v>
      </c>
      <c r="M121" s="145">
        <v>8.8019999999999996</v>
      </c>
      <c r="N121" s="145">
        <v>8.84</v>
      </c>
      <c r="O121" s="145">
        <v>8.8190000000000008</v>
      </c>
      <c r="P121" s="145">
        <v>8.7870000000000008</v>
      </c>
      <c r="Q121" s="145">
        <v>8.8140000000000001</v>
      </c>
      <c r="R121" s="145" t="s">
        <v>3</v>
      </c>
      <c r="S121" s="145">
        <v>8.8710000000000004</v>
      </c>
      <c r="T121" s="145">
        <v>8.8290000000000006</v>
      </c>
      <c r="U121" s="145">
        <v>8.8759999999999994</v>
      </c>
      <c r="V121" s="145">
        <v>8.875</v>
      </c>
      <c r="W121" s="157">
        <v>8.6929999999999996</v>
      </c>
      <c r="X121" s="157">
        <v>8.64</v>
      </c>
      <c r="Y121" s="157" t="s">
        <v>3</v>
      </c>
      <c r="Z121" s="158">
        <v>9.0190000000000001</v>
      </c>
      <c r="AA121" s="163">
        <v>9.07</v>
      </c>
      <c r="AB121" s="163" t="s">
        <v>3</v>
      </c>
      <c r="AC121" s="159">
        <v>8.7609999999999992</v>
      </c>
      <c r="AD121" s="159" t="s">
        <v>3</v>
      </c>
      <c r="AE121" s="150" t="s">
        <v>3</v>
      </c>
      <c r="AF121" s="150" t="s">
        <v>3</v>
      </c>
      <c r="AG121" s="150" t="s">
        <v>3</v>
      </c>
      <c r="AH121" s="150" t="s">
        <v>3</v>
      </c>
      <c r="AI121" s="151" t="s">
        <v>3</v>
      </c>
      <c r="AJ121" s="151" t="s">
        <v>3</v>
      </c>
      <c r="AK121" s="151" t="s">
        <v>3</v>
      </c>
      <c r="AL121" s="151" t="s">
        <v>3</v>
      </c>
      <c r="AM121" s="151" t="s">
        <v>3</v>
      </c>
      <c r="AN121" s="152" t="s">
        <v>3</v>
      </c>
      <c r="AO121" s="152" t="s">
        <v>3</v>
      </c>
      <c r="AP121" s="152" t="s">
        <v>3</v>
      </c>
      <c r="AQ121" s="152" t="s">
        <v>3</v>
      </c>
      <c r="AR121" s="152" t="s">
        <v>3</v>
      </c>
      <c r="AS121" s="153">
        <v>23.497</v>
      </c>
      <c r="AT121" s="153">
        <v>22.390999999999998</v>
      </c>
      <c r="AU121" s="153">
        <v>23.329000000000001</v>
      </c>
      <c r="AV121" s="153">
        <v>23.75</v>
      </c>
      <c r="AW121" s="154" t="s">
        <v>3</v>
      </c>
      <c r="AX121" s="154" t="s">
        <v>3</v>
      </c>
      <c r="AY121" s="155" t="s">
        <v>3</v>
      </c>
      <c r="AZ121" s="155" t="s">
        <v>3</v>
      </c>
      <c r="BA121" s="156" t="s">
        <v>3</v>
      </c>
    </row>
    <row r="122" spans="1:53" x14ac:dyDescent="0.25">
      <c r="A122" s="38">
        <v>119</v>
      </c>
      <c r="B122" s="139" t="s">
        <v>52</v>
      </c>
      <c r="C122" s="38" t="s">
        <v>138</v>
      </c>
      <c r="D122" s="38" t="s">
        <v>237</v>
      </c>
      <c r="E122" s="48">
        <v>254.05938900000001</v>
      </c>
      <c r="F122" s="141">
        <f>551.1/60</f>
        <v>9.1850000000000005</v>
      </c>
      <c r="G122" s="141">
        <v>9.1859999999999999</v>
      </c>
      <c r="H122" s="140" t="s">
        <v>3</v>
      </c>
      <c r="I122" s="160" t="s">
        <v>3</v>
      </c>
      <c r="J122" s="160" t="s">
        <v>3</v>
      </c>
      <c r="K122" s="143" t="s">
        <v>3</v>
      </c>
      <c r="L122" s="145" t="s">
        <v>3</v>
      </c>
      <c r="M122" s="145">
        <v>4.5730000000000004</v>
      </c>
      <c r="N122" s="145">
        <v>4.5890000000000004</v>
      </c>
      <c r="O122" s="145">
        <v>4.5839999999999996</v>
      </c>
      <c r="P122" s="145">
        <v>4.6070000000000002</v>
      </c>
      <c r="Q122" s="145">
        <v>4.6120000000000001</v>
      </c>
      <c r="R122" s="145">
        <v>4.6829999999999998</v>
      </c>
      <c r="S122" s="145">
        <v>4.6139999999999999</v>
      </c>
      <c r="T122" s="145">
        <v>4.6260000000000003</v>
      </c>
      <c r="U122" s="145">
        <v>4.585</v>
      </c>
      <c r="V122" s="145">
        <v>4.5970000000000004</v>
      </c>
      <c r="W122" s="157">
        <v>4.5359999999999996</v>
      </c>
      <c r="X122" s="157">
        <v>4.5030000000000001</v>
      </c>
      <c r="Y122" s="157" t="s">
        <v>3</v>
      </c>
      <c r="Z122" s="158">
        <v>4.75</v>
      </c>
      <c r="AA122" s="163">
        <v>4.8940000000000001</v>
      </c>
      <c r="AB122" s="163">
        <v>4.8650000000000002</v>
      </c>
      <c r="AC122" s="159">
        <v>4.5350000000000001</v>
      </c>
      <c r="AD122" s="159" t="s">
        <v>3</v>
      </c>
      <c r="AE122" s="150">
        <v>4.5279999999999996</v>
      </c>
      <c r="AF122" s="150">
        <v>4.6079999999999997</v>
      </c>
      <c r="AG122" s="150" t="s">
        <v>3</v>
      </c>
      <c r="AH122" s="150" t="s">
        <v>3</v>
      </c>
      <c r="AI122" s="151">
        <v>4.5906000000000002</v>
      </c>
      <c r="AJ122" s="161">
        <v>4.5696833333333302</v>
      </c>
      <c r="AK122" s="161">
        <v>4.5592333333333297</v>
      </c>
      <c r="AL122" s="161">
        <v>4.5898500000000002</v>
      </c>
      <c r="AM122" s="161" t="s">
        <v>3</v>
      </c>
      <c r="AN122" s="152" t="s">
        <v>3</v>
      </c>
      <c r="AO122" s="152" t="s">
        <v>3</v>
      </c>
      <c r="AP122" s="152" t="s">
        <v>3</v>
      </c>
      <c r="AQ122" s="152" t="s">
        <v>3</v>
      </c>
      <c r="AR122" s="152" t="s">
        <v>3</v>
      </c>
      <c r="AS122" s="153" t="s">
        <v>3</v>
      </c>
      <c r="AT122" s="153">
        <v>16.975999999999999</v>
      </c>
      <c r="AU122" s="153" t="s">
        <v>3</v>
      </c>
      <c r="AV122" s="153">
        <v>18.157</v>
      </c>
      <c r="AW122" s="154">
        <v>6.77</v>
      </c>
      <c r="AX122" s="154" t="s">
        <v>3</v>
      </c>
      <c r="AY122" s="155">
        <v>6.7824999999999998</v>
      </c>
      <c r="AZ122" s="155">
        <v>6.7747400000000004</v>
      </c>
      <c r="BA122" s="156">
        <v>3.92</v>
      </c>
    </row>
    <row r="123" spans="1:53" x14ac:dyDescent="0.25">
      <c r="A123" s="38">
        <v>120</v>
      </c>
      <c r="B123" s="139" t="s">
        <v>52</v>
      </c>
      <c r="C123" s="38" t="s">
        <v>139</v>
      </c>
      <c r="D123" s="38" t="s">
        <v>237</v>
      </c>
      <c r="E123" s="48">
        <v>252.044836</v>
      </c>
      <c r="F123" s="140" t="s">
        <v>564</v>
      </c>
      <c r="G123" s="140" t="s">
        <v>564</v>
      </c>
      <c r="H123" s="140" t="s">
        <v>564</v>
      </c>
      <c r="I123" s="160" t="s">
        <v>3</v>
      </c>
      <c r="J123" s="160" t="s">
        <v>3</v>
      </c>
      <c r="K123" s="143" t="s">
        <v>3</v>
      </c>
      <c r="L123" s="145" t="s">
        <v>3</v>
      </c>
      <c r="M123" s="145">
        <v>4.6349999999999998</v>
      </c>
      <c r="N123" s="145">
        <v>4.59</v>
      </c>
      <c r="O123" s="145">
        <v>4.633</v>
      </c>
      <c r="P123" s="145">
        <v>4.5730000000000004</v>
      </c>
      <c r="Q123" s="145">
        <v>4.6280000000000001</v>
      </c>
      <c r="R123" s="145">
        <v>4.59</v>
      </c>
      <c r="S123" s="145">
        <v>4.6349999999999998</v>
      </c>
      <c r="T123" s="145">
        <v>4.63</v>
      </c>
      <c r="U123" s="145">
        <v>4.6230000000000002</v>
      </c>
      <c r="V123" s="145">
        <v>4.6420000000000003</v>
      </c>
      <c r="W123" s="146" t="s">
        <v>564</v>
      </c>
      <c r="X123" s="146" t="s">
        <v>564</v>
      </c>
      <c r="Y123" s="146" t="s">
        <v>564</v>
      </c>
      <c r="Z123" s="158" t="s">
        <v>3</v>
      </c>
      <c r="AA123" s="163" t="s">
        <v>3</v>
      </c>
      <c r="AB123" s="163" t="s">
        <v>3</v>
      </c>
      <c r="AC123" s="159" t="s">
        <v>3</v>
      </c>
      <c r="AD123" s="159" t="s">
        <v>3</v>
      </c>
      <c r="AE123" s="150" t="s">
        <v>3</v>
      </c>
      <c r="AF123" s="150" t="s">
        <v>3</v>
      </c>
      <c r="AG123" s="150" t="s">
        <v>3</v>
      </c>
      <c r="AH123" s="150" t="s">
        <v>3</v>
      </c>
      <c r="AI123" s="151">
        <v>4.49</v>
      </c>
      <c r="AJ123" s="151" t="s">
        <v>564</v>
      </c>
      <c r="AK123" s="161">
        <v>4.3433666666666699</v>
      </c>
      <c r="AL123" s="151" t="s">
        <v>3</v>
      </c>
      <c r="AM123" s="151" t="s">
        <v>564</v>
      </c>
      <c r="AN123" s="152" t="s">
        <v>564</v>
      </c>
      <c r="AO123" s="152" t="s">
        <v>564</v>
      </c>
      <c r="AP123" s="152" t="s">
        <v>564</v>
      </c>
      <c r="AQ123" s="152" t="s">
        <v>564</v>
      </c>
      <c r="AR123" s="152" t="s">
        <v>564</v>
      </c>
      <c r="AS123" s="153" t="s">
        <v>3</v>
      </c>
      <c r="AT123" s="153" t="s">
        <v>3</v>
      </c>
      <c r="AU123" s="153" t="s">
        <v>3</v>
      </c>
      <c r="AV123" s="153" t="s">
        <v>3</v>
      </c>
      <c r="AW123" s="154" t="s">
        <v>3</v>
      </c>
      <c r="AX123" s="154" t="s">
        <v>3</v>
      </c>
      <c r="AY123" s="155">
        <v>6.7789700000000002</v>
      </c>
      <c r="AZ123" s="155" t="s">
        <v>3</v>
      </c>
      <c r="BA123" s="156" t="s">
        <v>3</v>
      </c>
    </row>
    <row r="124" spans="1:53" x14ac:dyDescent="0.25">
      <c r="A124" s="38">
        <v>121</v>
      </c>
      <c r="B124" s="139" t="s">
        <v>120</v>
      </c>
      <c r="C124" s="38" t="s">
        <v>138</v>
      </c>
      <c r="D124" s="38" t="s">
        <v>238</v>
      </c>
      <c r="E124" s="48">
        <v>230.11670000000001</v>
      </c>
      <c r="F124" s="140" t="s">
        <v>3</v>
      </c>
      <c r="G124" s="140" t="s">
        <v>3</v>
      </c>
      <c r="H124" s="140" t="s">
        <v>3</v>
      </c>
      <c r="I124" s="160" t="s">
        <v>3</v>
      </c>
      <c r="J124" s="160" t="s">
        <v>3</v>
      </c>
      <c r="K124" s="143" t="s">
        <v>3</v>
      </c>
      <c r="L124" s="145" t="s">
        <v>3</v>
      </c>
      <c r="M124" s="145" t="s">
        <v>3</v>
      </c>
      <c r="N124" s="145" t="s">
        <v>3</v>
      </c>
      <c r="O124" s="145" t="s">
        <v>3</v>
      </c>
      <c r="P124" s="145" t="s">
        <v>3</v>
      </c>
      <c r="Q124" s="145" t="s">
        <v>3</v>
      </c>
      <c r="R124" s="145" t="s">
        <v>3</v>
      </c>
      <c r="S124" s="145" t="s">
        <v>3</v>
      </c>
      <c r="T124" s="145" t="s">
        <v>3</v>
      </c>
      <c r="U124" s="145" t="s">
        <v>3</v>
      </c>
      <c r="V124" s="145" t="s">
        <v>3</v>
      </c>
      <c r="W124" s="157">
        <v>10.141</v>
      </c>
      <c r="X124" s="157">
        <v>10.084</v>
      </c>
      <c r="Y124" s="157" t="s">
        <v>3</v>
      </c>
      <c r="Z124" s="158">
        <v>10.452999999999999</v>
      </c>
      <c r="AA124" s="163">
        <v>10.503</v>
      </c>
      <c r="AB124" s="163">
        <v>10.484999999999999</v>
      </c>
      <c r="AC124" s="159" t="s">
        <v>3</v>
      </c>
      <c r="AD124" s="159" t="s">
        <v>3</v>
      </c>
      <c r="AE124" s="150" t="s">
        <v>3</v>
      </c>
      <c r="AF124" s="150" t="s">
        <v>3</v>
      </c>
      <c r="AG124" s="150" t="s">
        <v>3</v>
      </c>
      <c r="AH124" s="150" t="s">
        <v>3</v>
      </c>
      <c r="AI124" s="151">
        <v>10.7535833333333</v>
      </c>
      <c r="AJ124" s="161">
        <v>10.7222166666667</v>
      </c>
      <c r="AK124" s="161">
        <v>10.753716666666699</v>
      </c>
      <c r="AL124" s="151" t="s">
        <v>3</v>
      </c>
      <c r="AM124" s="151" t="s">
        <v>3</v>
      </c>
      <c r="AN124" s="152" t="s">
        <v>3</v>
      </c>
      <c r="AO124" s="152" t="s">
        <v>3</v>
      </c>
      <c r="AP124" s="152" t="s">
        <v>3</v>
      </c>
      <c r="AQ124" s="152" t="s">
        <v>3</v>
      </c>
      <c r="AR124" s="152" t="s">
        <v>3</v>
      </c>
      <c r="AS124" s="153" t="s">
        <v>3</v>
      </c>
      <c r="AT124" s="153">
        <v>24.954999999999998</v>
      </c>
      <c r="AU124" s="153" t="s">
        <v>3</v>
      </c>
      <c r="AV124" s="153">
        <v>25.808</v>
      </c>
      <c r="AW124" s="154" t="s">
        <v>3</v>
      </c>
      <c r="AX124" s="154" t="s">
        <v>3</v>
      </c>
      <c r="AY124" s="155" t="s">
        <v>3</v>
      </c>
      <c r="AZ124" s="155" t="s">
        <v>3</v>
      </c>
      <c r="BA124" s="156" t="s">
        <v>3</v>
      </c>
    </row>
    <row r="125" spans="1:53" x14ac:dyDescent="0.25">
      <c r="A125" s="38">
        <v>122</v>
      </c>
      <c r="B125" s="139" t="s">
        <v>99</v>
      </c>
      <c r="C125" s="38" t="s">
        <v>138</v>
      </c>
      <c r="D125" s="38" t="s">
        <v>239</v>
      </c>
      <c r="E125" s="48">
        <v>202.08539999999999</v>
      </c>
      <c r="F125" s="140" t="s">
        <v>3</v>
      </c>
      <c r="G125" s="140" t="s">
        <v>3</v>
      </c>
      <c r="H125" s="140" t="s">
        <v>3</v>
      </c>
      <c r="I125" s="160" t="s">
        <v>3</v>
      </c>
      <c r="J125" s="160" t="s">
        <v>3</v>
      </c>
      <c r="K125" s="143" t="s">
        <v>3</v>
      </c>
      <c r="L125" s="145" t="s">
        <v>3</v>
      </c>
      <c r="M125" s="145" t="s">
        <v>3</v>
      </c>
      <c r="N125" s="145" t="s">
        <v>3</v>
      </c>
      <c r="O125" s="145" t="s">
        <v>3</v>
      </c>
      <c r="P125" s="145" t="s">
        <v>3</v>
      </c>
      <c r="Q125" s="145" t="s">
        <v>3</v>
      </c>
      <c r="R125" s="145" t="s">
        <v>3</v>
      </c>
      <c r="S125" s="145" t="s">
        <v>3</v>
      </c>
      <c r="T125" s="145" t="s">
        <v>3</v>
      </c>
      <c r="U125" s="145" t="s">
        <v>3</v>
      </c>
      <c r="V125" s="145" t="s">
        <v>3</v>
      </c>
      <c r="W125" s="157">
        <v>7.5220000000000002</v>
      </c>
      <c r="X125" s="157">
        <v>7.4859999999999998</v>
      </c>
      <c r="Y125" s="157" t="s">
        <v>3</v>
      </c>
      <c r="Z125" s="158">
        <v>7.7759999999999998</v>
      </c>
      <c r="AA125" s="163">
        <v>7.87</v>
      </c>
      <c r="AB125" s="163" t="s">
        <v>3</v>
      </c>
      <c r="AC125" s="159" t="s">
        <v>3</v>
      </c>
      <c r="AD125" s="159" t="s">
        <v>3</v>
      </c>
      <c r="AE125" s="150" t="s">
        <v>3</v>
      </c>
      <c r="AF125" s="150" t="s">
        <v>3</v>
      </c>
      <c r="AG125" s="150" t="s">
        <v>3</v>
      </c>
      <c r="AH125" s="150" t="s">
        <v>3</v>
      </c>
      <c r="AI125" s="151">
        <v>8.50721666666667</v>
      </c>
      <c r="AJ125" s="161">
        <v>8.4694000000000003</v>
      </c>
      <c r="AK125" s="161">
        <v>8.5073166666666697</v>
      </c>
      <c r="AL125" s="151" t="s">
        <v>3</v>
      </c>
      <c r="AM125" s="151" t="s">
        <v>3</v>
      </c>
      <c r="AN125" s="152" t="s">
        <v>3</v>
      </c>
      <c r="AO125" s="152" t="s">
        <v>3</v>
      </c>
      <c r="AP125" s="152" t="s">
        <v>3</v>
      </c>
      <c r="AQ125" s="152" t="s">
        <v>3</v>
      </c>
      <c r="AR125" s="152" t="s">
        <v>3</v>
      </c>
      <c r="AS125" s="153" t="s">
        <v>3</v>
      </c>
      <c r="AT125" s="153" t="s">
        <v>3</v>
      </c>
      <c r="AU125" s="153" t="s">
        <v>3</v>
      </c>
      <c r="AV125" s="153" t="s">
        <v>3</v>
      </c>
      <c r="AW125" s="154" t="s">
        <v>3</v>
      </c>
      <c r="AX125" s="154" t="s">
        <v>3</v>
      </c>
      <c r="AY125" s="155" t="s">
        <v>3</v>
      </c>
      <c r="AZ125" s="155" t="s">
        <v>3</v>
      </c>
      <c r="BA125" s="156" t="s">
        <v>3</v>
      </c>
    </row>
    <row r="126" spans="1:53" x14ac:dyDescent="0.25">
      <c r="A126" s="38">
        <v>123</v>
      </c>
      <c r="B126" s="139" t="s">
        <v>123</v>
      </c>
      <c r="C126" s="38" t="s">
        <v>138</v>
      </c>
      <c r="D126" s="38" t="s">
        <v>242</v>
      </c>
      <c r="E126" s="48">
        <v>278.211456</v>
      </c>
      <c r="F126" s="141">
        <f>535.177/60</f>
        <v>8.9196166666666663</v>
      </c>
      <c r="G126" s="141">
        <v>8.9521833333333305</v>
      </c>
      <c r="H126" s="140" t="s">
        <v>3</v>
      </c>
      <c r="I126" s="160" t="s">
        <v>3</v>
      </c>
      <c r="J126" s="160" t="s">
        <v>3</v>
      </c>
      <c r="K126" s="164">
        <v>19.824000000000002</v>
      </c>
      <c r="L126" s="145" t="s">
        <v>3</v>
      </c>
      <c r="M126" s="145">
        <v>5.9109999999999996</v>
      </c>
      <c r="N126" s="145">
        <v>5.8819999999999997</v>
      </c>
      <c r="O126" s="145">
        <v>5.9260000000000002</v>
      </c>
      <c r="P126" s="145">
        <v>5.9560000000000004</v>
      </c>
      <c r="Q126" s="145">
        <v>5.9539999999999997</v>
      </c>
      <c r="R126" s="145">
        <v>5.9939999999999998</v>
      </c>
      <c r="S126" s="145">
        <v>5.9169999999999998</v>
      </c>
      <c r="T126" s="145">
        <v>6.0110000000000001</v>
      </c>
      <c r="U126" s="145">
        <v>5.9749999999999996</v>
      </c>
      <c r="V126" s="145">
        <v>5.9329999999999998</v>
      </c>
      <c r="W126" s="157">
        <v>6.1340000000000003</v>
      </c>
      <c r="X126" s="157">
        <v>6.0789999999999997</v>
      </c>
      <c r="Y126" s="157" t="s">
        <v>3</v>
      </c>
      <c r="Z126" s="158">
        <v>6.4290000000000003</v>
      </c>
      <c r="AA126" s="163">
        <v>6.492</v>
      </c>
      <c r="AB126" s="163">
        <v>6.4710000000000001</v>
      </c>
      <c r="AC126" s="159">
        <v>6.1689999999999996</v>
      </c>
      <c r="AD126" s="159" t="s">
        <v>3</v>
      </c>
      <c r="AE126" s="150">
        <v>6.2610000000000001</v>
      </c>
      <c r="AF126" s="150">
        <v>6.2919999999999998</v>
      </c>
      <c r="AG126" s="150">
        <v>6.2439999999999998</v>
      </c>
      <c r="AH126" s="150">
        <v>6.0609999999999999</v>
      </c>
      <c r="AI126" s="151">
        <v>7.2833333333333297</v>
      </c>
      <c r="AJ126" s="161">
        <v>8.0399499999999993</v>
      </c>
      <c r="AK126" s="161">
        <v>7.5726500000000003</v>
      </c>
      <c r="AL126" s="161">
        <v>7.2457000000000003</v>
      </c>
      <c r="AM126" s="161" t="s">
        <v>3</v>
      </c>
      <c r="AN126" s="152" t="s">
        <v>3</v>
      </c>
      <c r="AO126" s="152" t="s">
        <v>3</v>
      </c>
      <c r="AP126" s="152" t="s">
        <v>3</v>
      </c>
      <c r="AQ126" s="152" t="s">
        <v>3</v>
      </c>
      <c r="AR126" s="152" t="s">
        <v>3</v>
      </c>
      <c r="AS126" s="153" t="s">
        <v>3</v>
      </c>
      <c r="AT126" s="153">
        <v>16.274999999999999</v>
      </c>
      <c r="AU126" s="153" t="s">
        <v>3</v>
      </c>
      <c r="AV126" s="153">
        <v>16.869</v>
      </c>
      <c r="AW126" s="154">
        <v>7.81175</v>
      </c>
      <c r="AX126" s="154">
        <v>7.8186999999999998</v>
      </c>
      <c r="AY126" s="155">
        <v>8.3186999999999998</v>
      </c>
      <c r="AZ126" s="155" t="s">
        <v>3</v>
      </c>
      <c r="BA126" s="156">
        <v>5.32</v>
      </c>
    </row>
    <row r="127" spans="1:53" x14ac:dyDescent="0.25">
      <c r="A127" s="38">
        <v>124</v>
      </c>
      <c r="B127" s="139" t="s">
        <v>293</v>
      </c>
      <c r="C127" s="38" t="s">
        <v>138</v>
      </c>
      <c r="D127" s="38" t="s">
        <v>240</v>
      </c>
      <c r="E127" s="48">
        <v>264.19580500000001</v>
      </c>
      <c r="F127" s="141">
        <f>518.04/60</f>
        <v>8.6339999999999986</v>
      </c>
      <c r="G127" s="141">
        <v>8.6459666666666699</v>
      </c>
      <c r="H127" s="140" t="s">
        <v>3</v>
      </c>
      <c r="I127" s="160" t="s">
        <v>3</v>
      </c>
      <c r="J127" s="160" t="s">
        <v>3</v>
      </c>
      <c r="K127" s="164">
        <v>17.456499999999998</v>
      </c>
      <c r="L127" s="145" t="s">
        <v>3</v>
      </c>
      <c r="M127" s="145">
        <v>4.2210000000000001</v>
      </c>
      <c r="N127" s="145">
        <v>4.3410000000000002</v>
      </c>
      <c r="O127" s="145">
        <v>4.29</v>
      </c>
      <c r="P127" s="145">
        <v>4.2619999999999996</v>
      </c>
      <c r="Q127" s="145">
        <v>4.2640000000000002</v>
      </c>
      <c r="R127" s="145">
        <v>4.3840000000000003</v>
      </c>
      <c r="S127" s="145">
        <v>4.2640000000000002</v>
      </c>
      <c r="T127" s="145">
        <v>4.3289999999999997</v>
      </c>
      <c r="U127" s="145">
        <v>4.2880000000000003</v>
      </c>
      <c r="V127" s="145">
        <v>4.399</v>
      </c>
      <c r="W127" s="157">
        <v>4.5860000000000003</v>
      </c>
      <c r="X127" s="157">
        <v>4.5309999999999997</v>
      </c>
      <c r="Y127" s="157" t="s">
        <v>3</v>
      </c>
      <c r="Z127" s="158" t="s">
        <v>3</v>
      </c>
      <c r="AA127" s="163">
        <v>4.75</v>
      </c>
      <c r="AB127" s="163" t="s">
        <v>3</v>
      </c>
      <c r="AC127" s="159" t="s">
        <v>3</v>
      </c>
      <c r="AD127" s="159" t="s">
        <v>3</v>
      </c>
      <c r="AE127" s="150">
        <v>4.3109999999999999</v>
      </c>
      <c r="AF127" s="150" t="s">
        <v>3</v>
      </c>
      <c r="AG127" s="150" t="s">
        <v>3</v>
      </c>
      <c r="AH127" s="150" t="s">
        <v>3</v>
      </c>
      <c r="AI127" s="151">
        <v>7.3671333333333298</v>
      </c>
      <c r="AJ127" s="161">
        <v>8.1447000000000003</v>
      </c>
      <c r="AK127" s="161">
        <v>7.66</v>
      </c>
      <c r="AL127" s="161">
        <v>7.3419999999999996</v>
      </c>
      <c r="AM127" s="161" t="s">
        <v>3</v>
      </c>
      <c r="AN127" s="152" t="s">
        <v>3</v>
      </c>
      <c r="AO127" s="152" t="s">
        <v>3</v>
      </c>
      <c r="AP127" s="152" t="s">
        <v>3</v>
      </c>
      <c r="AQ127" s="152" t="s">
        <v>3</v>
      </c>
      <c r="AR127" s="152" t="s">
        <v>3</v>
      </c>
      <c r="AS127" s="153">
        <v>14.531000000000001</v>
      </c>
      <c r="AT127" s="153">
        <v>13.843999999999999</v>
      </c>
      <c r="AU127" s="153" t="s">
        <v>3</v>
      </c>
      <c r="AV127" s="153">
        <v>14.452</v>
      </c>
      <c r="AW127" s="154">
        <v>5.9765730000000001</v>
      </c>
      <c r="AX127" s="154">
        <v>5.9827000000000004</v>
      </c>
      <c r="AY127" s="155">
        <v>6.0025000000000004</v>
      </c>
      <c r="AZ127" s="155">
        <v>5.9938000000000002</v>
      </c>
      <c r="BA127" s="156">
        <v>3.98</v>
      </c>
    </row>
    <row r="128" spans="1:53" x14ac:dyDescent="0.25">
      <c r="A128" s="38">
        <v>125</v>
      </c>
      <c r="B128" s="139" t="s">
        <v>122</v>
      </c>
      <c r="C128" s="38" t="s">
        <v>138</v>
      </c>
      <c r="D128" s="38" t="s">
        <v>240</v>
      </c>
      <c r="E128" s="48">
        <v>264.19580500000001</v>
      </c>
      <c r="F128" s="141">
        <f>518.044/60</f>
        <v>8.6340666666666657</v>
      </c>
      <c r="G128" s="141">
        <v>8.4810333333333308</v>
      </c>
      <c r="H128" s="140" t="s">
        <v>3</v>
      </c>
      <c r="I128" s="160" t="s">
        <v>3</v>
      </c>
      <c r="J128" s="160" t="s">
        <v>3</v>
      </c>
      <c r="K128" s="164">
        <v>16.049633333333301</v>
      </c>
      <c r="L128" s="145" t="s">
        <v>3</v>
      </c>
      <c r="M128" s="145">
        <v>4.6239999999999997</v>
      </c>
      <c r="N128" s="145">
        <v>4.6390000000000002</v>
      </c>
      <c r="O128" s="145">
        <v>4.6840000000000002</v>
      </c>
      <c r="P128" s="145">
        <v>4.657</v>
      </c>
      <c r="Q128" s="145">
        <v>4.71</v>
      </c>
      <c r="R128" s="145">
        <v>4.7850000000000001</v>
      </c>
      <c r="S128" s="145">
        <v>4.6630000000000003</v>
      </c>
      <c r="T128" s="145">
        <v>4.7720000000000002</v>
      </c>
      <c r="U128" s="145">
        <v>4.6840000000000002</v>
      </c>
      <c r="V128" s="145">
        <v>4.6970000000000001</v>
      </c>
      <c r="W128" s="157">
        <v>4.8890000000000002</v>
      </c>
      <c r="X128" s="157">
        <v>4.8140000000000001</v>
      </c>
      <c r="Y128" s="157" t="s">
        <v>3</v>
      </c>
      <c r="Z128" s="158">
        <v>5.149</v>
      </c>
      <c r="AA128" s="163">
        <v>5.2389999999999999</v>
      </c>
      <c r="AB128" s="163">
        <v>5.1040000000000001</v>
      </c>
      <c r="AC128" s="159">
        <v>4.8869999999999996</v>
      </c>
      <c r="AD128" s="159" t="s">
        <v>3</v>
      </c>
      <c r="AE128" s="150">
        <v>4.8280000000000003</v>
      </c>
      <c r="AF128" s="150">
        <v>4.8419999999999996</v>
      </c>
      <c r="AG128" s="150">
        <v>4.7939999999999996</v>
      </c>
      <c r="AH128" s="150">
        <v>4.7110000000000003</v>
      </c>
      <c r="AI128" s="151">
        <v>5.1312499999999996</v>
      </c>
      <c r="AJ128" s="161">
        <v>6.12876666666667</v>
      </c>
      <c r="AK128" s="161">
        <v>5.3931666666666702</v>
      </c>
      <c r="AL128" s="161">
        <v>5.0933999999999999</v>
      </c>
      <c r="AM128" s="161" t="s">
        <v>3</v>
      </c>
      <c r="AN128" s="152" t="s">
        <v>3</v>
      </c>
      <c r="AO128" s="152" t="s">
        <v>3</v>
      </c>
      <c r="AP128" s="152" t="s">
        <v>3</v>
      </c>
      <c r="AQ128" s="152" t="s">
        <v>3</v>
      </c>
      <c r="AR128" s="152" t="s">
        <v>3</v>
      </c>
      <c r="AS128" s="153">
        <v>15.48</v>
      </c>
      <c r="AT128" s="153">
        <v>14.733000000000001</v>
      </c>
      <c r="AU128" s="153">
        <v>15.451000000000001</v>
      </c>
      <c r="AV128" s="153">
        <v>15.337999999999999</v>
      </c>
      <c r="AW128" s="154" t="s">
        <v>3</v>
      </c>
      <c r="AX128" s="154" t="s">
        <v>3</v>
      </c>
      <c r="AY128" s="155" t="s">
        <v>3</v>
      </c>
      <c r="AZ128" s="155" t="s">
        <v>3</v>
      </c>
      <c r="BA128" s="156" t="s">
        <v>3</v>
      </c>
    </row>
    <row r="129" spans="1:53" x14ac:dyDescent="0.25">
      <c r="A129" s="38">
        <v>126</v>
      </c>
      <c r="B129" s="139" t="s">
        <v>294</v>
      </c>
      <c r="C129" s="38" t="s">
        <v>138</v>
      </c>
      <c r="D129" s="38" t="s">
        <v>240</v>
      </c>
      <c r="E129" s="48">
        <v>264.19580500000001</v>
      </c>
      <c r="F129" s="141">
        <f>518.04/60</f>
        <v>8.6339999999999986</v>
      </c>
      <c r="G129" s="141">
        <v>8.6459666666666699</v>
      </c>
      <c r="H129" s="140" t="s">
        <v>3</v>
      </c>
      <c r="I129" s="160" t="s">
        <v>3</v>
      </c>
      <c r="J129" s="160" t="s">
        <v>3</v>
      </c>
      <c r="K129" s="164">
        <v>17.456499999999998</v>
      </c>
      <c r="L129" s="145" t="s">
        <v>3</v>
      </c>
      <c r="M129" s="145">
        <v>5.9589999999999996</v>
      </c>
      <c r="N129" s="145">
        <v>5.9809999999999999</v>
      </c>
      <c r="O129" s="145">
        <v>6.0270000000000001</v>
      </c>
      <c r="P129" s="145">
        <v>6.0039999999999996</v>
      </c>
      <c r="Q129" s="145">
        <v>6.0519999999999996</v>
      </c>
      <c r="R129" s="145">
        <v>6.0940000000000003</v>
      </c>
      <c r="S129" s="145">
        <v>6.0170000000000003</v>
      </c>
      <c r="T129" s="145">
        <v>6.109</v>
      </c>
      <c r="U129" s="145">
        <v>6.024</v>
      </c>
      <c r="V129" s="145">
        <v>6.032</v>
      </c>
      <c r="W129" s="157">
        <v>6.2039999999999997</v>
      </c>
      <c r="X129" s="157">
        <v>6.1689999999999996</v>
      </c>
      <c r="Y129" s="157" t="s">
        <v>3</v>
      </c>
      <c r="Z129" s="158" t="s">
        <v>3</v>
      </c>
      <c r="AA129" s="163">
        <v>6.61</v>
      </c>
      <c r="AB129" s="163" t="s">
        <v>3</v>
      </c>
      <c r="AC129" s="159" t="s">
        <v>3</v>
      </c>
      <c r="AD129" s="159" t="s">
        <v>3</v>
      </c>
      <c r="AE129" s="150">
        <v>6.3440000000000003</v>
      </c>
      <c r="AF129" s="150">
        <v>6.375</v>
      </c>
      <c r="AG129" s="150" t="s">
        <v>3</v>
      </c>
      <c r="AH129" s="150" t="s">
        <v>3</v>
      </c>
      <c r="AI129" s="151">
        <v>7.3671333333333298</v>
      </c>
      <c r="AJ129" s="161">
        <v>8.1447000000000003</v>
      </c>
      <c r="AK129" s="161">
        <v>7.66</v>
      </c>
      <c r="AL129" s="161">
        <v>7.3419999999999996</v>
      </c>
      <c r="AM129" s="161" t="s">
        <v>3</v>
      </c>
      <c r="AN129" s="152" t="s">
        <v>3</v>
      </c>
      <c r="AO129" s="152" t="s">
        <v>3</v>
      </c>
      <c r="AP129" s="152" t="s">
        <v>3</v>
      </c>
      <c r="AQ129" s="152" t="s">
        <v>3</v>
      </c>
      <c r="AR129" s="152" t="s">
        <v>3</v>
      </c>
      <c r="AS129" s="153" t="s">
        <v>3</v>
      </c>
      <c r="AT129" s="153">
        <v>15.97</v>
      </c>
      <c r="AU129" s="153" t="s">
        <v>3</v>
      </c>
      <c r="AV129" s="153">
        <v>16.573</v>
      </c>
      <c r="AW129" s="154" t="s">
        <v>3</v>
      </c>
      <c r="AX129" s="154" t="s">
        <v>3</v>
      </c>
      <c r="AY129" s="155" t="s">
        <v>3</v>
      </c>
      <c r="AZ129" s="155" t="s">
        <v>3</v>
      </c>
      <c r="BA129" s="156" t="s">
        <v>3</v>
      </c>
    </row>
    <row r="130" spans="1:53" x14ac:dyDescent="0.25">
      <c r="A130" s="38">
        <v>127</v>
      </c>
      <c r="B130" s="139" t="s">
        <v>107</v>
      </c>
      <c r="C130" s="38" t="s">
        <v>138</v>
      </c>
      <c r="D130" s="38" t="s">
        <v>241</v>
      </c>
      <c r="E130" s="48">
        <v>280.19072</v>
      </c>
      <c r="F130" s="141">
        <f>491.001/60</f>
        <v>8.183349999999999</v>
      </c>
      <c r="G130" s="141">
        <v>8.1789833333333295</v>
      </c>
      <c r="H130" s="140" t="s">
        <v>3</v>
      </c>
      <c r="I130" s="160" t="s">
        <v>3</v>
      </c>
      <c r="J130" s="160" t="s">
        <v>3</v>
      </c>
      <c r="K130" s="164">
        <v>17.939</v>
      </c>
      <c r="L130" s="145">
        <v>5.07</v>
      </c>
      <c r="M130" s="145">
        <v>5.1219999999999999</v>
      </c>
      <c r="N130" s="145">
        <v>5.0839999999999996</v>
      </c>
      <c r="O130" s="145">
        <v>5.1280000000000001</v>
      </c>
      <c r="P130" s="145">
        <v>5.1079999999999997</v>
      </c>
      <c r="Q130" s="145">
        <v>5.1059999999999999</v>
      </c>
      <c r="R130" s="145">
        <v>5.1820000000000004</v>
      </c>
      <c r="S130" s="145">
        <v>5.1079999999999997</v>
      </c>
      <c r="T130" s="145">
        <v>5.2149999999999999</v>
      </c>
      <c r="U130" s="145">
        <v>5.1779999999999999</v>
      </c>
      <c r="V130" s="145">
        <v>5.1420000000000003</v>
      </c>
      <c r="W130" s="157">
        <v>5.2510000000000003</v>
      </c>
      <c r="X130" s="157">
        <v>5.1920000000000002</v>
      </c>
      <c r="Y130" s="157" t="s">
        <v>3</v>
      </c>
      <c r="Z130" s="158" t="s">
        <v>3</v>
      </c>
      <c r="AA130" s="163">
        <v>5.6120000000000001</v>
      </c>
      <c r="AB130" s="163" t="s">
        <v>3</v>
      </c>
      <c r="AC130" s="159">
        <v>5.2670000000000003</v>
      </c>
      <c r="AD130" s="159" t="s">
        <v>3</v>
      </c>
      <c r="AE130" s="150">
        <v>4.7110000000000003</v>
      </c>
      <c r="AF130" s="150">
        <v>4.758</v>
      </c>
      <c r="AG130" s="150" t="s">
        <v>3</v>
      </c>
      <c r="AH130" s="150" t="s">
        <v>3</v>
      </c>
      <c r="AI130" s="151">
        <v>5.9130000000000003</v>
      </c>
      <c r="AJ130" s="161">
        <v>6.8</v>
      </c>
      <c r="AK130" s="161">
        <v>6.1710000000000003</v>
      </c>
      <c r="AL130" s="151">
        <v>5.8179999999999996</v>
      </c>
      <c r="AM130" s="151" t="s">
        <v>3</v>
      </c>
      <c r="AN130" s="152" t="s">
        <v>3</v>
      </c>
      <c r="AO130" s="152" t="s">
        <v>3</v>
      </c>
      <c r="AP130" s="152" t="s">
        <v>3</v>
      </c>
      <c r="AQ130" s="152" t="s">
        <v>3</v>
      </c>
      <c r="AR130" s="152" t="s">
        <v>3</v>
      </c>
      <c r="AS130" s="153" t="s">
        <v>3</v>
      </c>
      <c r="AT130" s="153">
        <v>14.747999999999999</v>
      </c>
      <c r="AU130" s="153" t="s">
        <v>3</v>
      </c>
      <c r="AV130" s="153">
        <v>15.337999999999999</v>
      </c>
      <c r="AW130" s="154" t="s">
        <v>3</v>
      </c>
      <c r="AX130" s="154" t="s">
        <v>3</v>
      </c>
      <c r="AY130" s="155" t="s">
        <v>3</v>
      </c>
      <c r="AZ130" s="155" t="s">
        <v>3</v>
      </c>
      <c r="BA130" s="156" t="s">
        <v>3</v>
      </c>
    </row>
    <row r="131" spans="1:53" x14ac:dyDescent="0.25">
      <c r="A131" s="38">
        <v>128</v>
      </c>
      <c r="B131" s="139" t="s">
        <v>115</v>
      </c>
      <c r="C131" s="38" t="s">
        <v>138</v>
      </c>
      <c r="D131" s="38" t="s">
        <v>243</v>
      </c>
      <c r="E131" s="48">
        <v>120.05562399999999</v>
      </c>
      <c r="F131" s="141">
        <f>8.634</f>
        <v>8.6340000000000003</v>
      </c>
      <c r="G131" s="141">
        <v>8.62001666666667</v>
      </c>
      <c r="H131" s="140" t="s">
        <v>3</v>
      </c>
      <c r="I131" s="160" t="s">
        <v>3</v>
      </c>
      <c r="J131" s="160" t="s">
        <v>3</v>
      </c>
      <c r="K131" s="164">
        <v>17.840499999999999</v>
      </c>
      <c r="L131" s="145" t="s">
        <v>3</v>
      </c>
      <c r="M131" s="145">
        <v>4.5730000000000004</v>
      </c>
      <c r="N131" s="145">
        <v>4.5389999999999997</v>
      </c>
      <c r="O131" s="145">
        <v>4.5839999999999996</v>
      </c>
      <c r="P131" s="145">
        <v>4.6070000000000002</v>
      </c>
      <c r="Q131" s="145">
        <v>4.6120000000000001</v>
      </c>
      <c r="R131" s="145">
        <v>4.6829999999999998</v>
      </c>
      <c r="S131" s="145">
        <v>4.6139999999999999</v>
      </c>
      <c r="T131" s="145">
        <v>4.5759999999999996</v>
      </c>
      <c r="U131" s="145">
        <v>4.585</v>
      </c>
      <c r="V131" s="145">
        <v>4.6470000000000002</v>
      </c>
      <c r="W131" s="157">
        <v>4.4039999999999999</v>
      </c>
      <c r="X131" s="157">
        <v>4.3810000000000002</v>
      </c>
      <c r="Y131" s="157" t="s">
        <v>3</v>
      </c>
      <c r="Z131" s="158">
        <v>4.6360000000000001</v>
      </c>
      <c r="AA131" s="163">
        <v>4.6909999999999998</v>
      </c>
      <c r="AB131" s="163" t="s">
        <v>3</v>
      </c>
      <c r="AC131" s="159">
        <v>4.4240000000000004</v>
      </c>
      <c r="AD131" s="159" t="s">
        <v>3</v>
      </c>
      <c r="AE131" s="150">
        <v>4.6779999999999999</v>
      </c>
      <c r="AF131" s="150">
        <v>4.7080000000000002</v>
      </c>
      <c r="AG131" s="150">
        <v>4.694</v>
      </c>
      <c r="AH131" s="150">
        <v>4.6769999999999996</v>
      </c>
      <c r="AI131" s="151">
        <v>4.3432500000000003</v>
      </c>
      <c r="AJ131" s="161">
        <v>4.2804333333333302</v>
      </c>
      <c r="AK131" s="161">
        <v>4.3328333333333298</v>
      </c>
      <c r="AL131" s="151">
        <v>4.4450000000000003</v>
      </c>
      <c r="AM131" s="151" t="s">
        <v>3</v>
      </c>
      <c r="AN131" s="152" t="s">
        <v>3</v>
      </c>
      <c r="AO131" s="152" t="s">
        <v>3</v>
      </c>
      <c r="AP131" s="152" t="s">
        <v>3</v>
      </c>
      <c r="AQ131" s="152" t="s">
        <v>3</v>
      </c>
      <c r="AR131" s="152" t="s">
        <v>3</v>
      </c>
      <c r="AS131" s="153">
        <v>14.635999999999999</v>
      </c>
      <c r="AT131" s="153">
        <v>13.874000000000001</v>
      </c>
      <c r="AU131" s="153">
        <v>14.545</v>
      </c>
      <c r="AV131" s="153">
        <v>15.013</v>
      </c>
      <c r="AW131" s="154" t="s">
        <v>3</v>
      </c>
      <c r="AX131" s="154" t="s">
        <v>3</v>
      </c>
      <c r="AY131" s="155" t="s">
        <v>3</v>
      </c>
      <c r="AZ131" s="155">
        <v>4.3379000000000003</v>
      </c>
      <c r="BA131" s="156">
        <v>3.72</v>
      </c>
    </row>
    <row r="132" spans="1:53" x14ac:dyDescent="0.25">
      <c r="A132" s="38">
        <v>129</v>
      </c>
      <c r="B132" s="139" t="s">
        <v>97</v>
      </c>
      <c r="C132" s="38" t="s">
        <v>138</v>
      </c>
      <c r="D132" s="38" t="s">
        <v>244</v>
      </c>
      <c r="E132" s="48">
        <v>164.04545300000001</v>
      </c>
      <c r="F132" s="140" t="s">
        <v>3</v>
      </c>
      <c r="G132" s="140" t="s">
        <v>3</v>
      </c>
      <c r="H132" s="140" t="s">
        <v>3</v>
      </c>
      <c r="I132" s="160" t="s">
        <v>3</v>
      </c>
      <c r="J132" s="160" t="s">
        <v>3</v>
      </c>
      <c r="K132" s="143" t="s">
        <v>3</v>
      </c>
      <c r="L132" s="145" t="s">
        <v>3</v>
      </c>
      <c r="M132" s="145">
        <v>4.7720000000000002</v>
      </c>
      <c r="N132" s="145">
        <v>4.7370000000000001</v>
      </c>
      <c r="O132" s="145">
        <v>4.8310000000000004</v>
      </c>
      <c r="P132" s="145">
        <v>4.7560000000000002</v>
      </c>
      <c r="Q132" s="145">
        <v>4.8099999999999996</v>
      </c>
      <c r="R132" s="145">
        <v>4.8840000000000003</v>
      </c>
      <c r="S132" s="145">
        <v>4.8109999999999999</v>
      </c>
      <c r="T132" s="145">
        <v>4.8220000000000001</v>
      </c>
      <c r="U132" s="145" t="s">
        <v>3</v>
      </c>
      <c r="V132" s="145">
        <v>4.8440000000000003</v>
      </c>
      <c r="W132" s="157" t="s">
        <v>3</v>
      </c>
      <c r="X132" s="157" t="s">
        <v>3</v>
      </c>
      <c r="Y132" s="157" t="s">
        <v>3</v>
      </c>
      <c r="Z132" s="158" t="s">
        <v>3</v>
      </c>
      <c r="AA132" s="163" t="s">
        <v>3</v>
      </c>
      <c r="AB132" s="163" t="s">
        <v>3</v>
      </c>
      <c r="AC132" s="159" t="s">
        <v>3</v>
      </c>
      <c r="AD132" s="159" t="s">
        <v>3</v>
      </c>
      <c r="AE132" s="150" t="s">
        <v>3</v>
      </c>
      <c r="AF132" s="150" t="s">
        <v>3</v>
      </c>
      <c r="AG132" s="150" t="s">
        <v>3</v>
      </c>
      <c r="AH132" s="150" t="s">
        <v>3</v>
      </c>
      <c r="AI132" s="151" t="s">
        <v>3</v>
      </c>
      <c r="AJ132" s="151" t="s">
        <v>3</v>
      </c>
      <c r="AK132" s="151" t="s">
        <v>3</v>
      </c>
      <c r="AL132" s="151" t="s">
        <v>3</v>
      </c>
      <c r="AM132" s="151" t="s">
        <v>3</v>
      </c>
      <c r="AN132" s="152" t="s">
        <v>3</v>
      </c>
      <c r="AO132" s="152" t="s">
        <v>3</v>
      </c>
      <c r="AP132" s="152" t="s">
        <v>3</v>
      </c>
      <c r="AQ132" s="152" t="s">
        <v>3</v>
      </c>
      <c r="AR132" s="152" t="s">
        <v>3</v>
      </c>
      <c r="AS132" s="153" t="s">
        <v>3</v>
      </c>
      <c r="AT132" s="153" t="s">
        <v>3</v>
      </c>
      <c r="AU132" s="153" t="s">
        <v>3</v>
      </c>
      <c r="AV132" s="153" t="s">
        <v>3</v>
      </c>
      <c r="AW132" s="154" t="s">
        <v>3</v>
      </c>
      <c r="AX132" s="154" t="s">
        <v>3</v>
      </c>
      <c r="AY132" s="155" t="s">
        <v>3</v>
      </c>
      <c r="AZ132" s="155" t="s">
        <v>3</v>
      </c>
      <c r="BA132" s="156" t="s">
        <v>3</v>
      </c>
    </row>
    <row r="133" spans="1:53" x14ac:dyDescent="0.25">
      <c r="A133" s="38">
        <v>130</v>
      </c>
      <c r="B133" s="139" t="s">
        <v>27</v>
      </c>
      <c r="C133" s="38" t="s">
        <v>139</v>
      </c>
      <c r="D133" s="38" t="s">
        <v>245</v>
      </c>
      <c r="E133" s="48">
        <v>213.963809</v>
      </c>
      <c r="F133" s="140" t="s">
        <v>564</v>
      </c>
      <c r="G133" s="140" t="s">
        <v>564</v>
      </c>
      <c r="H133" s="140" t="s">
        <v>564</v>
      </c>
      <c r="I133" s="160" t="s">
        <v>3</v>
      </c>
      <c r="J133" s="160" t="s">
        <v>3</v>
      </c>
      <c r="K133" s="164">
        <v>18.350000000000001</v>
      </c>
      <c r="L133" s="145">
        <v>4.5999999999999996</v>
      </c>
      <c r="M133" s="145">
        <v>4.585</v>
      </c>
      <c r="N133" s="145">
        <v>4.54</v>
      </c>
      <c r="O133" s="145">
        <v>4.58</v>
      </c>
      <c r="P133" s="145">
        <v>4.524</v>
      </c>
      <c r="Q133" s="145">
        <v>4.577</v>
      </c>
      <c r="R133" s="145">
        <v>4.5380000000000003</v>
      </c>
      <c r="S133" s="145">
        <v>4.5350000000000001</v>
      </c>
      <c r="T133" s="145">
        <v>4.532</v>
      </c>
      <c r="U133" s="145">
        <v>4.5739999999999998</v>
      </c>
      <c r="V133" s="145">
        <v>4.5410000000000004</v>
      </c>
      <c r="W133" s="146" t="s">
        <v>564</v>
      </c>
      <c r="X133" s="146" t="s">
        <v>564</v>
      </c>
      <c r="Y133" s="146" t="s">
        <v>564</v>
      </c>
      <c r="Z133" s="158">
        <v>4.4029999999999996</v>
      </c>
      <c r="AA133" s="163">
        <v>4.5469999999999997</v>
      </c>
      <c r="AB133" s="163">
        <v>4.5579999999999998</v>
      </c>
      <c r="AC133" s="159">
        <v>4.2969999999999997</v>
      </c>
      <c r="AD133" s="159" t="s">
        <v>3</v>
      </c>
      <c r="AE133" s="150">
        <v>3.8929999999999998</v>
      </c>
      <c r="AF133" s="150">
        <v>3.8260000000000001</v>
      </c>
      <c r="AG133" s="150" t="s">
        <v>3</v>
      </c>
      <c r="AH133" s="150">
        <v>4.16</v>
      </c>
      <c r="AI133" s="151">
        <v>3.907</v>
      </c>
      <c r="AJ133" s="151" t="s">
        <v>564</v>
      </c>
      <c r="AK133" s="161">
        <v>3.6875</v>
      </c>
      <c r="AL133" s="161">
        <v>3.9141666666666701</v>
      </c>
      <c r="AM133" s="151" t="s">
        <v>564</v>
      </c>
      <c r="AN133" s="152" t="s">
        <v>564</v>
      </c>
      <c r="AO133" s="152" t="s">
        <v>564</v>
      </c>
      <c r="AP133" s="152" t="s">
        <v>564</v>
      </c>
      <c r="AQ133" s="152" t="s">
        <v>564</v>
      </c>
      <c r="AR133" s="152" t="s">
        <v>564</v>
      </c>
      <c r="AS133" s="153">
        <v>14.834</v>
      </c>
      <c r="AT133" s="153">
        <v>14.202</v>
      </c>
      <c r="AU133" s="153">
        <v>14.814</v>
      </c>
      <c r="AV133" s="153">
        <v>16.036000000000001</v>
      </c>
      <c r="AW133" s="154">
        <v>4.7019000000000002</v>
      </c>
      <c r="AX133" s="154" t="s">
        <v>3</v>
      </c>
      <c r="AY133" s="155">
        <v>4.8300099999999997</v>
      </c>
      <c r="AZ133" s="155">
        <v>4.6974499999999999</v>
      </c>
      <c r="BA133" s="156">
        <v>3.0253100000000002</v>
      </c>
    </row>
    <row r="134" spans="1:53" x14ac:dyDescent="0.25">
      <c r="A134" s="38">
        <v>131</v>
      </c>
      <c r="B134" s="139" t="s">
        <v>28</v>
      </c>
      <c r="C134" s="38" t="s">
        <v>139</v>
      </c>
      <c r="D134" s="38" t="s">
        <v>246</v>
      </c>
      <c r="E134" s="48">
        <v>201.98156700000001</v>
      </c>
      <c r="F134" s="140" t="s">
        <v>564</v>
      </c>
      <c r="G134" s="140" t="s">
        <v>564</v>
      </c>
      <c r="H134" s="140" t="s">
        <v>564</v>
      </c>
      <c r="I134" s="160" t="s">
        <v>3</v>
      </c>
      <c r="J134" s="160" t="s">
        <v>3</v>
      </c>
      <c r="K134" s="164">
        <v>15.382999999999999</v>
      </c>
      <c r="L134" s="145" t="s">
        <v>3</v>
      </c>
      <c r="M134" s="145">
        <v>2.9550000000000001</v>
      </c>
      <c r="N134" s="145">
        <v>2.964</v>
      </c>
      <c r="O134" s="145">
        <v>2.952</v>
      </c>
      <c r="P134" s="145">
        <v>2.9460000000000002</v>
      </c>
      <c r="Q134" s="145">
        <v>2.948</v>
      </c>
      <c r="R134" s="145">
        <v>2.9089999999999998</v>
      </c>
      <c r="S134" s="145">
        <v>2.9540000000000002</v>
      </c>
      <c r="T134" s="145">
        <v>2.9470000000000001</v>
      </c>
      <c r="U134" s="145">
        <v>2.9</v>
      </c>
      <c r="V134" s="145">
        <v>2.91</v>
      </c>
      <c r="W134" s="146" t="s">
        <v>564</v>
      </c>
      <c r="X134" s="146" t="s">
        <v>564</v>
      </c>
      <c r="Y134" s="146" t="s">
        <v>564</v>
      </c>
      <c r="Z134" s="158">
        <v>2.5950000000000002</v>
      </c>
      <c r="AA134" s="163">
        <v>2.42</v>
      </c>
      <c r="AB134" s="163" t="s">
        <v>3</v>
      </c>
      <c r="AC134" s="159">
        <v>2.31</v>
      </c>
      <c r="AD134" s="159" t="s">
        <v>3</v>
      </c>
      <c r="AE134" s="150">
        <v>2.8929999999999998</v>
      </c>
      <c r="AF134" s="150">
        <v>2.8769999999999998</v>
      </c>
      <c r="AG134" s="150" t="s">
        <v>3</v>
      </c>
      <c r="AH134" s="150" t="s">
        <v>3</v>
      </c>
      <c r="AI134" s="151">
        <v>2.2229999999999999</v>
      </c>
      <c r="AJ134" s="151" t="s">
        <v>564</v>
      </c>
      <c r="AK134" s="161">
        <v>1.9753000000000001</v>
      </c>
      <c r="AL134" s="161">
        <v>2.2792500000000002</v>
      </c>
      <c r="AM134" s="151" t="s">
        <v>564</v>
      </c>
      <c r="AN134" s="152" t="s">
        <v>564</v>
      </c>
      <c r="AO134" s="152" t="s">
        <v>564</v>
      </c>
      <c r="AP134" s="152" t="s">
        <v>564</v>
      </c>
      <c r="AQ134" s="152" t="s">
        <v>564</v>
      </c>
      <c r="AR134" s="152" t="s">
        <v>564</v>
      </c>
      <c r="AS134" s="153" t="s">
        <v>3</v>
      </c>
      <c r="AT134" s="153">
        <v>11.826000000000001</v>
      </c>
      <c r="AU134" s="153" t="s">
        <v>3</v>
      </c>
      <c r="AV134" s="153">
        <v>13.497999999999999</v>
      </c>
      <c r="AW134" s="154" t="s">
        <v>3</v>
      </c>
      <c r="AX134" s="154" t="s">
        <v>3</v>
      </c>
      <c r="AY134" s="155">
        <v>2.0492400000000002</v>
      </c>
      <c r="AZ134" s="155">
        <v>1.8051299999999999</v>
      </c>
      <c r="BA134" s="156" t="s">
        <v>3</v>
      </c>
    </row>
    <row r="135" spans="1:53" x14ac:dyDescent="0.25">
      <c r="A135" s="38">
        <v>132</v>
      </c>
      <c r="B135" s="139" t="s">
        <v>29</v>
      </c>
      <c r="C135" s="38" t="s">
        <v>139</v>
      </c>
      <c r="D135" s="38" t="s">
        <v>247</v>
      </c>
      <c r="E135" s="48">
        <v>172.99140299999999</v>
      </c>
      <c r="F135" s="140" t="s">
        <v>564</v>
      </c>
      <c r="G135" s="140" t="s">
        <v>564</v>
      </c>
      <c r="H135" s="140" t="s">
        <v>564</v>
      </c>
      <c r="I135" s="160" t="s">
        <v>3</v>
      </c>
      <c r="J135" s="160" t="s">
        <v>3</v>
      </c>
      <c r="K135" s="143" t="s">
        <v>3</v>
      </c>
      <c r="L135" s="145">
        <v>2.4460000000000002</v>
      </c>
      <c r="M135" s="145">
        <v>2.4140000000000001</v>
      </c>
      <c r="N135" s="145">
        <v>2.371</v>
      </c>
      <c r="O135" s="145">
        <v>2.411</v>
      </c>
      <c r="P135" s="145">
        <v>2.4060000000000001</v>
      </c>
      <c r="Q135" s="145">
        <v>2.4089999999999998</v>
      </c>
      <c r="R135" s="145">
        <v>2.4169999999999998</v>
      </c>
      <c r="S135" s="145">
        <v>2.415</v>
      </c>
      <c r="T135" s="145">
        <v>2.407</v>
      </c>
      <c r="U135" s="145">
        <v>2.363</v>
      </c>
      <c r="V135" s="145">
        <v>2.4129999999999998</v>
      </c>
      <c r="W135" s="146" t="s">
        <v>564</v>
      </c>
      <c r="X135" s="146" t="s">
        <v>564</v>
      </c>
      <c r="Y135" s="146" t="s">
        <v>564</v>
      </c>
      <c r="Z135" s="158">
        <v>2.161</v>
      </c>
      <c r="AA135" s="163">
        <v>1.911</v>
      </c>
      <c r="AB135" s="163" t="s">
        <v>3</v>
      </c>
      <c r="AC135" s="159">
        <v>1.859</v>
      </c>
      <c r="AD135" s="159" t="s">
        <v>3</v>
      </c>
      <c r="AE135" s="150">
        <v>3.11</v>
      </c>
      <c r="AF135" s="150" t="s">
        <v>3</v>
      </c>
      <c r="AG135" s="150" t="s">
        <v>3</v>
      </c>
      <c r="AH135" s="150" t="s">
        <v>3</v>
      </c>
      <c r="AI135" s="151" t="s">
        <v>3</v>
      </c>
      <c r="AJ135" s="151" t="s">
        <v>564</v>
      </c>
      <c r="AK135" s="161">
        <v>1.66106666666667</v>
      </c>
      <c r="AL135" s="161">
        <v>1.9276</v>
      </c>
      <c r="AM135" s="151" t="s">
        <v>564</v>
      </c>
      <c r="AN135" s="152" t="s">
        <v>564</v>
      </c>
      <c r="AO135" s="152" t="s">
        <v>564</v>
      </c>
      <c r="AP135" s="152" t="s">
        <v>564</v>
      </c>
      <c r="AQ135" s="152" t="s">
        <v>564</v>
      </c>
      <c r="AR135" s="152" t="s">
        <v>564</v>
      </c>
      <c r="AS135" s="153" t="s">
        <v>3</v>
      </c>
      <c r="AT135" s="153" t="s">
        <v>3</v>
      </c>
      <c r="AU135" s="153" t="s">
        <v>3</v>
      </c>
      <c r="AV135" s="153" t="s">
        <v>3</v>
      </c>
      <c r="AW135" s="154" t="s">
        <v>3</v>
      </c>
      <c r="AX135" s="154" t="s">
        <v>3</v>
      </c>
      <c r="AY135" s="155" t="s">
        <v>3</v>
      </c>
      <c r="AZ135" s="155" t="s">
        <v>3</v>
      </c>
      <c r="BA135" s="156" t="s">
        <v>3</v>
      </c>
    </row>
    <row r="136" spans="1:53" x14ac:dyDescent="0.25">
      <c r="A136" s="38">
        <v>133</v>
      </c>
      <c r="B136" s="139" t="s">
        <v>30</v>
      </c>
      <c r="C136" s="38" t="s">
        <v>139</v>
      </c>
      <c r="D136" s="38" t="s">
        <v>248</v>
      </c>
      <c r="E136" s="48">
        <v>199.04343900000001</v>
      </c>
      <c r="F136" s="140" t="s">
        <v>564</v>
      </c>
      <c r="G136" s="140" t="s">
        <v>564</v>
      </c>
      <c r="H136" s="140" t="s">
        <v>564</v>
      </c>
      <c r="I136" s="160" t="s">
        <v>3</v>
      </c>
      <c r="J136" s="160" t="s">
        <v>3</v>
      </c>
      <c r="K136" s="164">
        <v>20.588999999999999</v>
      </c>
      <c r="L136" s="145" t="s">
        <v>3</v>
      </c>
      <c r="M136" s="145">
        <v>6.1180000000000003</v>
      </c>
      <c r="N136" s="145">
        <v>6.0839999999999996</v>
      </c>
      <c r="O136" s="145">
        <v>6.1059999999999999</v>
      </c>
      <c r="P136" s="145">
        <v>6.0540000000000003</v>
      </c>
      <c r="Q136" s="145">
        <v>6.0590000000000002</v>
      </c>
      <c r="R136" s="145">
        <v>6.0270000000000001</v>
      </c>
      <c r="S136" s="145">
        <v>6.0609999999999999</v>
      </c>
      <c r="T136" s="145">
        <v>6.0549999999999997</v>
      </c>
      <c r="U136" s="145">
        <v>6.0579999999999998</v>
      </c>
      <c r="V136" s="145">
        <v>6.0789999999999997</v>
      </c>
      <c r="W136" s="146" t="s">
        <v>564</v>
      </c>
      <c r="X136" s="146" t="s">
        <v>564</v>
      </c>
      <c r="Y136" s="146" t="s">
        <v>564</v>
      </c>
      <c r="Z136" s="158">
        <v>6.1520000000000001</v>
      </c>
      <c r="AA136" s="163">
        <v>6.3259999999999996</v>
      </c>
      <c r="AB136" s="163">
        <v>6.399</v>
      </c>
      <c r="AC136" s="159">
        <v>6.0860000000000003</v>
      </c>
      <c r="AD136" s="159" t="s">
        <v>3</v>
      </c>
      <c r="AE136" s="150">
        <v>5.0259999999999998</v>
      </c>
      <c r="AF136" s="150" t="s">
        <v>3</v>
      </c>
      <c r="AG136" s="150">
        <v>5.1589999999999998</v>
      </c>
      <c r="AH136" s="150">
        <v>5.359</v>
      </c>
      <c r="AI136" s="151" t="s">
        <v>3</v>
      </c>
      <c r="AJ136" s="151" t="s">
        <v>564</v>
      </c>
      <c r="AK136" s="161">
        <v>5.4980000000000002</v>
      </c>
      <c r="AL136" s="161">
        <v>5.7902666666666702</v>
      </c>
      <c r="AM136" s="151" t="s">
        <v>564</v>
      </c>
      <c r="AN136" s="152" t="s">
        <v>564</v>
      </c>
      <c r="AO136" s="152" t="s">
        <v>564</v>
      </c>
      <c r="AP136" s="152" t="s">
        <v>564</v>
      </c>
      <c r="AQ136" s="152" t="s">
        <v>564</v>
      </c>
      <c r="AR136" s="152" t="s">
        <v>564</v>
      </c>
      <c r="AS136" s="153">
        <v>16.459</v>
      </c>
      <c r="AT136" s="153">
        <v>15.763999999999999</v>
      </c>
      <c r="AU136" s="153" t="s">
        <v>3</v>
      </c>
      <c r="AV136" s="153">
        <v>17.812999999999999</v>
      </c>
      <c r="AW136" s="154">
        <v>6.4623400000000002</v>
      </c>
      <c r="AX136" s="154" t="s">
        <v>3</v>
      </c>
      <c r="AY136" s="155">
        <v>6.4940600000000002</v>
      </c>
      <c r="AZ136" s="155">
        <v>5.5023999999999997</v>
      </c>
      <c r="BA136" s="156">
        <v>4.0747</v>
      </c>
    </row>
    <row r="137" spans="1:53" x14ac:dyDescent="0.25">
      <c r="A137" s="38">
        <v>134</v>
      </c>
      <c r="B137" s="139" t="s">
        <v>31</v>
      </c>
      <c r="C137" s="38" t="s">
        <v>139</v>
      </c>
      <c r="D137" s="38" t="s">
        <v>249</v>
      </c>
      <c r="E137" s="48">
        <v>151.04006799999999</v>
      </c>
      <c r="F137" s="140" t="s">
        <v>564</v>
      </c>
      <c r="G137" s="140" t="s">
        <v>564</v>
      </c>
      <c r="H137" s="140" t="s">
        <v>564</v>
      </c>
      <c r="I137" s="160" t="s">
        <v>3</v>
      </c>
      <c r="J137" s="160" t="s">
        <v>3</v>
      </c>
      <c r="K137" s="143" t="s">
        <v>3</v>
      </c>
      <c r="L137" s="145" t="s">
        <v>3</v>
      </c>
      <c r="M137" s="145" t="s">
        <v>3</v>
      </c>
      <c r="N137" s="145" t="s">
        <v>3</v>
      </c>
      <c r="O137" s="145" t="s">
        <v>3</v>
      </c>
      <c r="P137" s="145" t="s">
        <v>3</v>
      </c>
      <c r="Q137" s="145" t="s">
        <v>3</v>
      </c>
      <c r="R137" s="145" t="s">
        <v>3</v>
      </c>
      <c r="S137" s="145" t="s">
        <v>3</v>
      </c>
      <c r="T137" s="145" t="s">
        <v>3</v>
      </c>
      <c r="U137" s="145" t="s">
        <v>3</v>
      </c>
      <c r="V137" s="145" t="s">
        <v>3</v>
      </c>
      <c r="W137" s="146" t="s">
        <v>564</v>
      </c>
      <c r="X137" s="146" t="s">
        <v>564</v>
      </c>
      <c r="Y137" s="146" t="s">
        <v>564</v>
      </c>
      <c r="Z137" s="158" t="s">
        <v>3</v>
      </c>
      <c r="AA137" s="163" t="s">
        <v>3</v>
      </c>
      <c r="AB137" s="163" t="s">
        <v>3</v>
      </c>
      <c r="AC137" s="159" t="s">
        <v>3</v>
      </c>
      <c r="AD137" s="159" t="s">
        <v>3</v>
      </c>
      <c r="AE137" s="150">
        <v>5.8250000000000002</v>
      </c>
      <c r="AF137" s="150">
        <v>5.8090000000000002</v>
      </c>
      <c r="AG137" s="150" t="s">
        <v>3</v>
      </c>
      <c r="AH137" s="150">
        <v>5.9589999999999996</v>
      </c>
      <c r="AI137" s="151" t="s">
        <v>3</v>
      </c>
      <c r="AJ137" s="151" t="s">
        <v>564</v>
      </c>
      <c r="AK137" s="161">
        <v>2.6271166666666699</v>
      </c>
      <c r="AL137" s="151" t="s">
        <v>3</v>
      </c>
      <c r="AM137" s="151" t="s">
        <v>564</v>
      </c>
      <c r="AN137" s="152" t="s">
        <v>564</v>
      </c>
      <c r="AO137" s="152" t="s">
        <v>564</v>
      </c>
      <c r="AP137" s="152" t="s">
        <v>564</v>
      </c>
      <c r="AQ137" s="152" t="s">
        <v>564</v>
      </c>
      <c r="AR137" s="152" t="s">
        <v>564</v>
      </c>
      <c r="AS137" s="153" t="s">
        <v>3</v>
      </c>
      <c r="AT137" s="153" t="s">
        <v>3</v>
      </c>
      <c r="AU137" s="153" t="s">
        <v>3</v>
      </c>
      <c r="AV137" s="153" t="s">
        <v>3</v>
      </c>
      <c r="AW137" s="154" t="s">
        <v>3</v>
      </c>
      <c r="AX137" s="154" t="s">
        <v>3</v>
      </c>
      <c r="AY137" s="155" t="s">
        <v>3</v>
      </c>
      <c r="AZ137" s="155" t="s">
        <v>3</v>
      </c>
      <c r="BA137" s="156" t="s">
        <v>3</v>
      </c>
    </row>
    <row r="138" spans="1:53" x14ac:dyDescent="0.25">
      <c r="A138" s="38">
        <v>135</v>
      </c>
      <c r="B138" s="139" t="s">
        <v>32</v>
      </c>
      <c r="C138" s="38" t="s">
        <v>139</v>
      </c>
      <c r="D138" s="38" t="s">
        <v>250</v>
      </c>
      <c r="E138" s="48">
        <v>219.17543900000001</v>
      </c>
      <c r="F138" s="140" t="s">
        <v>564</v>
      </c>
      <c r="G138" s="140" t="s">
        <v>564</v>
      </c>
      <c r="H138" s="140" t="s">
        <v>564</v>
      </c>
      <c r="I138" s="160" t="s">
        <v>3</v>
      </c>
      <c r="J138" s="160" t="s">
        <v>3</v>
      </c>
      <c r="K138" s="143" t="s">
        <v>3</v>
      </c>
      <c r="L138" s="145" t="s">
        <v>3</v>
      </c>
      <c r="M138" s="145" t="s">
        <v>3</v>
      </c>
      <c r="N138" s="145" t="s">
        <v>3</v>
      </c>
      <c r="O138" s="145" t="s">
        <v>3</v>
      </c>
      <c r="P138" s="145" t="s">
        <v>3</v>
      </c>
      <c r="Q138" s="145">
        <v>16.978000000000002</v>
      </c>
      <c r="R138" s="145" t="s">
        <v>3</v>
      </c>
      <c r="S138" s="145">
        <v>17.141999999999999</v>
      </c>
      <c r="T138" s="145">
        <v>17.253</v>
      </c>
      <c r="U138" s="145">
        <v>17.187000000000001</v>
      </c>
      <c r="V138" s="145" t="s">
        <v>3</v>
      </c>
      <c r="W138" s="146" t="s">
        <v>564</v>
      </c>
      <c r="X138" s="146" t="s">
        <v>564</v>
      </c>
      <c r="Y138" s="146" t="s">
        <v>564</v>
      </c>
      <c r="Z138" s="158" t="s">
        <v>3</v>
      </c>
      <c r="AA138" s="163" t="s">
        <v>3</v>
      </c>
      <c r="AB138" s="163" t="s">
        <v>3</v>
      </c>
      <c r="AC138" s="159" t="s">
        <v>3</v>
      </c>
      <c r="AD138" s="159" t="s">
        <v>3</v>
      </c>
      <c r="AE138" s="150">
        <v>12.805</v>
      </c>
      <c r="AF138" s="150">
        <v>12.789</v>
      </c>
      <c r="AG138" s="150">
        <v>13.005000000000001</v>
      </c>
      <c r="AH138" s="150">
        <v>12.872999999999999</v>
      </c>
      <c r="AI138" s="151" t="s">
        <v>3</v>
      </c>
      <c r="AJ138" s="151" t="s">
        <v>564</v>
      </c>
      <c r="AK138" s="161">
        <v>14.6285833333333</v>
      </c>
      <c r="AL138" s="161">
        <v>14.646933333333299</v>
      </c>
      <c r="AM138" s="151" t="s">
        <v>564</v>
      </c>
      <c r="AN138" s="152" t="s">
        <v>564</v>
      </c>
      <c r="AO138" s="152" t="s">
        <v>564</v>
      </c>
      <c r="AP138" s="152" t="s">
        <v>564</v>
      </c>
      <c r="AQ138" s="152" t="s">
        <v>564</v>
      </c>
      <c r="AR138" s="152" t="s">
        <v>564</v>
      </c>
      <c r="AS138" s="153" t="s">
        <v>3</v>
      </c>
      <c r="AT138" s="153" t="s">
        <v>3</v>
      </c>
      <c r="AU138" s="153" t="s">
        <v>3</v>
      </c>
      <c r="AV138" s="153" t="s">
        <v>3</v>
      </c>
      <c r="AW138" s="154" t="s">
        <v>3</v>
      </c>
      <c r="AX138" s="154" t="s">
        <v>3</v>
      </c>
      <c r="AY138" s="155" t="s">
        <v>3</v>
      </c>
      <c r="AZ138" s="155" t="s">
        <v>3</v>
      </c>
      <c r="BA138" s="156" t="s">
        <v>3</v>
      </c>
    </row>
    <row r="139" spans="1:53" x14ac:dyDescent="0.25">
      <c r="A139" s="38">
        <v>136</v>
      </c>
      <c r="B139" s="139" t="s">
        <v>124</v>
      </c>
      <c r="C139" s="38" t="s">
        <v>139</v>
      </c>
      <c r="D139" s="38" t="s">
        <v>251</v>
      </c>
      <c r="E139" s="48">
        <v>205.15978899999999</v>
      </c>
      <c r="F139" s="140" t="s">
        <v>564</v>
      </c>
      <c r="G139" s="140" t="s">
        <v>564</v>
      </c>
      <c r="H139" s="140" t="s">
        <v>564</v>
      </c>
      <c r="I139" s="160" t="s">
        <v>3</v>
      </c>
      <c r="J139" s="160" t="s">
        <v>3</v>
      </c>
      <c r="K139" s="143" t="s">
        <v>3</v>
      </c>
      <c r="L139" s="145" t="s">
        <v>3</v>
      </c>
      <c r="M139" s="145" t="s">
        <v>3</v>
      </c>
      <c r="N139" s="145" t="s">
        <v>3</v>
      </c>
      <c r="O139" s="145" t="s">
        <v>3</v>
      </c>
      <c r="P139" s="145" t="s">
        <v>3</v>
      </c>
      <c r="Q139" s="145" t="s">
        <v>3</v>
      </c>
      <c r="R139" s="145" t="s">
        <v>3</v>
      </c>
      <c r="S139" s="145" t="s">
        <v>3</v>
      </c>
      <c r="T139" s="145" t="s">
        <v>3</v>
      </c>
      <c r="U139" s="145" t="s">
        <v>3</v>
      </c>
      <c r="V139" s="145" t="s">
        <v>3</v>
      </c>
      <c r="W139" s="146" t="s">
        <v>564</v>
      </c>
      <c r="X139" s="146" t="s">
        <v>564</v>
      </c>
      <c r="Y139" s="146" t="s">
        <v>564</v>
      </c>
      <c r="Z139" s="158" t="s">
        <v>3</v>
      </c>
      <c r="AA139" s="163">
        <v>16.125</v>
      </c>
      <c r="AB139" s="163" t="s">
        <v>3</v>
      </c>
      <c r="AC139" s="159" t="s">
        <v>3</v>
      </c>
      <c r="AD139" s="159" t="s">
        <v>3</v>
      </c>
      <c r="AE139" s="150">
        <v>12.189</v>
      </c>
      <c r="AF139" s="150">
        <v>12.206</v>
      </c>
      <c r="AG139" s="150">
        <v>12.456</v>
      </c>
      <c r="AH139" s="150">
        <v>12.256</v>
      </c>
      <c r="AI139" s="151" t="s">
        <v>3</v>
      </c>
      <c r="AJ139" s="151" t="s">
        <v>564</v>
      </c>
      <c r="AK139" s="161">
        <v>11.6675166666667</v>
      </c>
      <c r="AL139" s="151" t="s">
        <v>3</v>
      </c>
      <c r="AM139" s="151" t="s">
        <v>564</v>
      </c>
      <c r="AN139" s="152" t="s">
        <v>564</v>
      </c>
      <c r="AO139" s="152" t="s">
        <v>564</v>
      </c>
      <c r="AP139" s="152" t="s">
        <v>564</v>
      </c>
      <c r="AQ139" s="152" t="s">
        <v>564</v>
      </c>
      <c r="AR139" s="152" t="s">
        <v>564</v>
      </c>
      <c r="AS139" s="153" t="s">
        <v>3</v>
      </c>
      <c r="AT139" s="153" t="s">
        <v>3</v>
      </c>
      <c r="AU139" s="153" t="s">
        <v>3</v>
      </c>
      <c r="AV139" s="153" t="s">
        <v>3</v>
      </c>
      <c r="AW139" s="154" t="s">
        <v>3</v>
      </c>
      <c r="AX139" s="154" t="s">
        <v>3</v>
      </c>
      <c r="AY139" s="155" t="s">
        <v>3</v>
      </c>
      <c r="AZ139" s="155" t="s">
        <v>3</v>
      </c>
      <c r="BA139" s="156" t="s">
        <v>3</v>
      </c>
    </row>
    <row r="140" spans="1:53" x14ac:dyDescent="0.25">
      <c r="A140" s="38">
        <v>137</v>
      </c>
      <c r="B140" s="139" t="s">
        <v>124</v>
      </c>
      <c r="C140" s="38" t="s">
        <v>139</v>
      </c>
      <c r="D140" s="38" t="s">
        <v>251</v>
      </c>
      <c r="E140" s="48">
        <v>205.15978899999999</v>
      </c>
      <c r="F140" s="140" t="s">
        <v>564</v>
      </c>
      <c r="G140" s="140" t="s">
        <v>564</v>
      </c>
      <c r="H140" s="140" t="s">
        <v>564</v>
      </c>
      <c r="I140" s="160" t="s">
        <v>3</v>
      </c>
      <c r="J140" s="160" t="s">
        <v>3</v>
      </c>
      <c r="K140" s="143" t="s">
        <v>3</v>
      </c>
      <c r="L140" s="145" t="s">
        <v>3</v>
      </c>
      <c r="M140" s="145" t="s">
        <v>3</v>
      </c>
      <c r="N140" s="145" t="s">
        <v>3</v>
      </c>
      <c r="O140" s="145" t="s">
        <v>3</v>
      </c>
      <c r="P140" s="145" t="s">
        <v>3</v>
      </c>
      <c r="Q140" s="145" t="s">
        <v>3</v>
      </c>
      <c r="R140" s="145" t="s">
        <v>3</v>
      </c>
      <c r="S140" s="145" t="s">
        <v>3</v>
      </c>
      <c r="T140" s="145" t="s">
        <v>3</v>
      </c>
      <c r="U140" s="145" t="s">
        <v>3</v>
      </c>
      <c r="V140" s="145" t="s">
        <v>3</v>
      </c>
      <c r="W140" s="146" t="s">
        <v>564</v>
      </c>
      <c r="X140" s="146" t="s">
        <v>564</v>
      </c>
      <c r="Y140" s="146" t="s">
        <v>564</v>
      </c>
      <c r="Z140" s="158" t="s">
        <v>3</v>
      </c>
      <c r="AA140" s="163">
        <v>16.125</v>
      </c>
      <c r="AB140" s="163" t="s">
        <v>3</v>
      </c>
      <c r="AC140" s="159" t="s">
        <v>3</v>
      </c>
      <c r="AD140" s="159" t="s">
        <v>3</v>
      </c>
      <c r="AE140" s="150">
        <v>12.189</v>
      </c>
      <c r="AF140" s="150">
        <v>12.206</v>
      </c>
      <c r="AG140" s="150">
        <v>12.456</v>
      </c>
      <c r="AH140" s="150">
        <v>12.256</v>
      </c>
      <c r="AI140" s="151" t="s">
        <v>3</v>
      </c>
      <c r="AJ140" s="151" t="s">
        <v>564</v>
      </c>
      <c r="AK140" s="161">
        <v>11.6675166666667</v>
      </c>
      <c r="AL140" s="151" t="s">
        <v>3</v>
      </c>
      <c r="AM140" s="151" t="s">
        <v>564</v>
      </c>
      <c r="AN140" s="152" t="s">
        <v>564</v>
      </c>
      <c r="AO140" s="152" t="s">
        <v>564</v>
      </c>
      <c r="AP140" s="152" t="s">
        <v>564</v>
      </c>
      <c r="AQ140" s="152" t="s">
        <v>564</v>
      </c>
      <c r="AR140" s="152" t="s">
        <v>564</v>
      </c>
      <c r="AS140" s="153" t="s">
        <v>3</v>
      </c>
      <c r="AT140" s="153" t="s">
        <v>3</v>
      </c>
      <c r="AU140" s="153" t="s">
        <v>3</v>
      </c>
      <c r="AV140" s="153" t="s">
        <v>3</v>
      </c>
      <c r="AW140" s="154" t="s">
        <v>3</v>
      </c>
      <c r="AX140" s="154" t="s">
        <v>3</v>
      </c>
      <c r="AY140" s="155" t="s">
        <v>3</v>
      </c>
      <c r="AZ140" s="155" t="s">
        <v>3</v>
      </c>
      <c r="BA140" s="156" t="s">
        <v>3</v>
      </c>
    </row>
    <row r="141" spans="1:53" x14ac:dyDescent="0.25">
      <c r="A141" s="38">
        <v>138</v>
      </c>
      <c r="B141" s="139" t="s">
        <v>33</v>
      </c>
      <c r="C141" s="38" t="s">
        <v>139</v>
      </c>
      <c r="D141" s="38" t="s">
        <v>252</v>
      </c>
      <c r="E141" s="48">
        <v>227.107753</v>
      </c>
      <c r="F141" s="140" t="s">
        <v>564</v>
      </c>
      <c r="G141" s="140" t="s">
        <v>564</v>
      </c>
      <c r="H141" s="140" t="s">
        <v>564</v>
      </c>
      <c r="I141" s="160" t="s">
        <v>3</v>
      </c>
      <c r="J141" s="160" t="s">
        <v>3</v>
      </c>
      <c r="K141" s="143" t="s">
        <v>3</v>
      </c>
      <c r="L141" s="145" t="s">
        <v>3</v>
      </c>
      <c r="M141" s="145" t="s">
        <v>3</v>
      </c>
      <c r="N141" s="145" t="s">
        <v>3</v>
      </c>
      <c r="O141" s="145" t="s">
        <v>3</v>
      </c>
      <c r="P141" s="145" t="s">
        <v>3</v>
      </c>
      <c r="Q141" s="145" t="s">
        <v>3</v>
      </c>
      <c r="R141" s="145" t="s">
        <v>3</v>
      </c>
      <c r="S141" s="145" t="s">
        <v>3</v>
      </c>
      <c r="T141" s="145" t="s">
        <v>3</v>
      </c>
      <c r="U141" s="145" t="s">
        <v>3</v>
      </c>
      <c r="V141" s="145" t="s">
        <v>3</v>
      </c>
      <c r="W141" s="146" t="s">
        <v>564</v>
      </c>
      <c r="X141" s="146" t="s">
        <v>564</v>
      </c>
      <c r="Y141" s="146" t="s">
        <v>564</v>
      </c>
      <c r="Z141" s="158" t="s">
        <v>3</v>
      </c>
      <c r="AA141" s="163">
        <v>16.125</v>
      </c>
      <c r="AB141" s="163" t="s">
        <v>3</v>
      </c>
      <c r="AC141" s="159" t="s">
        <v>3</v>
      </c>
      <c r="AD141" s="159" t="s">
        <v>3</v>
      </c>
      <c r="AE141" s="150">
        <v>8.2910000000000004</v>
      </c>
      <c r="AF141" s="150" t="s">
        <v>3</v>
      </c>
      <c r="AG141" s="150" t="s">
        <v>3</v>
      </c>
      <c r="AH141" s="150" t="s">
        <v>3</v>
      </c>
      <c r="AI141" s="151" t="s">
        <v>3</v>
      </c>
      <c r="AJ141" s="151" t="s">
        <v>564</v>
      </c>
      <c r="AK141" s="161">
        <v>9.8924666666666692</v>
      </c>
      <c r="AL141" s="151" t="s">
        <v>3</v>
      </c>
      <c r="AM141" s="151" t="s">
        <v>564</v>
      </c>
      <c r="AN141" s="152" t="s">
        <v>564</v>
      </c>
      <c r="AO141" s="152" t="s">
        <v>564</v>
      </c>
      <c r="AP141" s="152" t="s">
        <v>564</v>
      </c>
      <c r="AQ141" s="152" t="s">
        <v>564</v>
      </c>
      <c r="AR141" s="152" t="s">
        <v>564</v>
      </c>
      <c r="AS141" s="153" t="s">
        <v>3</v>
      </c>
      <c r="AT141" s="153" t="s">
        <v>3</v>
      </c>
      <c r="AU141" s="153" t="s">
        <v>3</v>
      </c>
      <c r="AV141" s="153" t="s">
        <v>3</v>
      </c>
      <c r="AW141" s="154" t="s">
        <v>3</v>
      </c>
      <c r="AX141" s="154" t="s">
        <v>3</v>
      </c>
      <c r="AY141" s="155" t="s">
        <v>3</v>
      </c>
      <c r="AZ141" s="155" t="s">
        <v>3</v>
      </c>
      <c r="BA141" s="156" t="s">
        <v>3</v>
      </c>
    </row>
    <row r="142" spans="1:53" x14ac:dyDescent="0.25">
      <c r="A142" s="38">
        <v>139</v>
      </c>
      <c r="B142" s="139" t="s">
        <v>34</v>
      </c>
      <c r="C142" s="38" t="s">
        <v>139</v>
      </c>
      <c r="D142" s="38" t="s">
        <v>253</v>
      </c>
      <c r="E142" s="48">
        <v>335.051222</v>
      </c>
      <c r="F142" s="140" t="s">
        <v>564</v>
      </c>
      <c r="G142" s="140" t="s">
        <v>564</v>
      </c>
      <c r="H142" s="140" t="s">
        <v>564</v>
      </c>
      <c r="I142" s="160" t="s">
        <v>3</v>
      </c>
      <c r="J142" s="160" t="s">
        <v>3</v>
      </c>
      <c r="K142" s="143" t="s">
        <v>3</v>
      </c>
      <c r="L142" s="145" t="s">
        <v>3</v>
      </c>
      <c r="M142" s="145" t="s">
        <v>3</v>
      </c>
      <c r="N142" s="145" t="s">
        <v>3</v>
      </c>
      <c r="O142" s="145" t="s">
        <v>3</v>
      </c>
      <c r="P142" s="145" t="s">
        <v>3</v>
      </c>
      <c r="Q142" s="145" t="s">
        <v>3</v>
      </c>
      <c r="R142" s="145" t="s">
        <v>3</v>
      </c>
      <c r="S142" s="145" t="s">
        <v>3</v>
      </c>
      <c r="T142" s="145" t="s">
        <v>3</v>
      </c>
      <c r="U142" s="145" t="s">
        <v>3</v>
      </c>
      <c r="V142" s="145" t="s">
        <v>3</v>
      </c>
      <c r="W142" s="146" t="s">
        <v>564</v>
      </c>
      <c r="X142" s="146" t="s">
        <v>564</v>
      </c>
      <c r="Y142" s="146" t="s">
        <v>564</v>
      </c>
      <c r="Z142" s="158" t="s">
        <v>3</v>
      </c>
      <c r="AA142" s="163" t="s">
        <v>3</v>
      </c>
      <c r="AB142" s="163" t="s">
        <v>3</v>
      </c>
      <c r="AC142" s="159" t="s">
        <v>3</v>
      </c>
      <c r="AD142" s="159" t="s">
        <v>3</v>
      </c>
      <c r="AE142" s="150" t="s">
        <v>3</v>
      </c>
      <c r="AF142" s="150" t="s">
        <v>3</v>
      </c>
      <c r="AG142" s="150" t="s">
        <v>3</v>
      </c>
      <c r="AH142" s="150" t="s">
        <v>3</v>
      </c>
      <c r="AI142" s="151" t="s">
        <v>3</v>
      </c>
      <c r="AJ142" s="151" t="s">
        <v>564</v>
      </c>
      <c r="AK142" s="151" t="s">
        <v>3</v>
      </c>
      <c r="AL142" s="151" t="s">
        <v>3</v>
      </c>
      <c r="AM142" s="151" t="s">
        <v>564</v>
      </c>
      <c r="AN142" s="152" t="s">
        <v>564</v>
      </c>
      <c r="AO142" s="152" t="s">
        <v>564</v>
      </c>
      <c r="AP142" s="152" t="s">
        <v>564</v>
      </c>
      <c r="AQ142" s="152" t="s">
        <v>564</v>
      </c>
      <c r="AR142" s="152" t="s">
        <v>564</v>
      </c>
      <c r="AS142" s="153" t="s">
        <v>3</v>
      </c>
      <c r="AT142" s="153" t="s">
        <v>3</v>
      </c>
      <c r="AU142" s="153" t="s">
        <v>3</v>
      </c>
      <c r="AV142" s="153" t="s">
        <v>3</v>
      </c>
      <c r="AW142" s="154" t="s">
        <v>3</v>
      </c>
      <c r="AX142" s="154" t="s">
        <v>3</v>
      </c>
      <c r="AY142" s="155" t="s">
        <v>3</v>
      </c>
      <c r="AZ142" s="155" t="s">
        <v>3</v>
      </c>
      <c r="BA142" s="156" t="s">
        <v>3</v>
      </c>
    </row>
    <row r="143" spans="1:53" x14ac:dyDescent="0.25">
      <c r="A143" s="38">
        <v>140</v>
      </c>
      <c r="B143" s="139" t="s">
        <v>35</v>
      </c>
      <c r="C143" s="38" t="s">
        <v>139</v>
      </c>
      <c r="D143" s="38" t="s">
        <v>254</v>
      </c>
      <c r="E143" s="48">
        <v>289.123403</v>
      </c>
      <c r="F143" s="140" t="s">
        <v>564</v>
      </c>
      <c r="G143" s="140" t="s">
        <v>564</v>
      </c>
      <c r="H143" s="140" t="s">
        <v>564</v>
      </c>
      <c r="I143" s="160" t="s">
        <v>3</v>
      </c>
      <c r="J143" s="160" t="s">
        <v>3</v>
      </c>
      <c r="K143" s="143" t="s">
        <v>3</v>
      </c>
      <c r="L143" s="145" t="s">
        <v>3</v>
      </c>
      <c r="M143" s="145" t="s">
        <v>3</v>
      </c>
      <c r="N143" s="145" t="s">
        <v>3</v>
      </c>
      <c r="O143" s="145" t="s">
        <v>3</v>
      </c>
      <c r="P143" s="145" t="s">
        <v>3</v>
      </c>
      <c r="Q143" s="145" t="s">
        <v>3</v>
      </c>
      <c r="R143" s="145" t="s">
        <v>3</v>
      </c>
      <c r="S143" s="145" t="s">
        <v>3</v>
      </c>
      <c r="T143" s="145" t="s">
        <v>3</v>
      </c>
      <c r="U143" s="145" t="s">
        <v>3</v>
      </c>
      <c r="V143" s="145" t="s">
        <v>3</v>
      </c>
      <c r="W143" s="146" t="s">
        <v>564</v>
      </c>
      <c r="X143" s="146" t="s">
        <v>564</v>
      </c>
      <c r="Y143" s="146" t="s">
        <v>564</v>
      </c>
      <c r="Z143" s="158" t="s">
        <v>3</v>
      </c>
      <c r="AA143" s="163" t="s">
        <v>3</v>
      </c>
      <c r="AB143" s="163" t="s">
        <v>3</v>
      </c>
      <c r="AC143" s="159" t="s">
        <v>3</v>
      </c>
      <c r="AD143" s="159" t="s">
        <v>3</v>
      </c>
      <c r="AE143" s="150" t="s">
        <v>3</v>
      </c>
      <c r="AF143" s="150" t="s">
        <v>3</v>
      </c>
      <c r="AG143" s="150" t="s">
        <v>3</v>
      </c>
      <c r="AH143" s="150" t="s">
        <v>3</v>
      </c>
      <c r="AI143" s="151" t="s">
        <v>3</v>
      </c>
      <c r="AJ143" s="151" t="s">
        <v>564</v>
      </c>
      <c r="AK143" s="151" t="s">
        <v>3</v>
      </c>
      <c r="AL143" s="151" t="s">
        <v>3</v>
      </c>
      <c r="AM143" s="151" t="s">
        <v>564</v>
      </c>
      <c r="AN143" s="152" t="s">
        <v>564</v>
      </c>
      <c r="AO143" s="152" t="s">
        <v>564</v>
      </c>
      <c r="AP143" s="152" t="s">
        <v>564</v>
      </c>
      <c r="AQ143" s="152" t="s">
        <v>564</v>
      </c>
      <c r="AR143" s="152" t="s">
        <v>564</v>
      </c>
      <c r="AS143" s="153" t="s">
        <v>3</v>
      </c>
      <c r="AT143" s="153" t="s">
        <v>3</v>
      </c>
      <c r="AU143" s="153" t="s">
        <v>3</v>
      </c>
      <c r="AV143" s="153" t="s">
        <v>3</v>
      </c>
      <c r="AW143" s="154" t="s">
        <v>3</v>
      </c>
      <c r="AX143" s="154" t="s">
        <v>3</v>
      </c>
      <c r="AY143" s="155" t="s">
        <v>3</v>
      </c>
      <c r="AZ143" s="155" t="s">
        <v>3</v>
      </c>
      <c r="BA143" s="156" t="s">
        <v>3</v>
      </c>
    </row>
    <row r="144" spans="1:53" x14ac:dyDescent="0.25">
      <c r="A144" s="38">
        <v>141</v>
      </c>
      <c r="B144" s="139" t="s">
        <v>36</v>
      </c>
      <c r="C144" s="38" t="s">
        <v>139</v>
      </c>
      <c r="D144" s="38" t="s">
        <v>255</v>
      </c>
      <c r="E144" s="48">
        <v>241.123403</v>
      </c>
      <c r="F144" s="140" t="s">
        <v>564</v>
      </c>
      <c r="G144" s="140" t="s">
        <v>564</v>
      </c>
      <c r="H144" s="140" t="s">
        <v>564</v>
      </c>
      <c r="I144" s="160" t="s">
        <v>3</v>
      </c>
      <c r="J144" s="160" t="s">
        <v>3</v>
      </c>
      <c r="K144" s="143" t="s">
        <v>3</v>
      </c>
      <c r="L144" s="145" t="s">
        <v>3</v>
      </c>
      <c r="M144" s="145" t="s">
        <v>3</v>
      </c>
      <c r="N144" s="145" t="s">
        <v>3</v>
      </c>
      <c r="O144" s="145" t="s">
        <v>3</v>
      </c>
      <c r="P144" s="145" t="s">
        <v>3</v>
      </c>
      <c r="Q144" s="145" t="s">
        <v>3</v>
      </c>
      <c r="R144" s="145" t="s">
        <v>3</v>
      </c>
      <c r="S144" s="145" t="s">
        <v>3</v>
      </c>
      <c r="T144" s="145" t="s">
        <v>3</v>
      </c>
      <c r="U144" s="145" t="s">
        <v>3</v>
      </c>
      <c r="V144" s="145" t="s">
        <v>3</v>
      </c>
      <c r="W144" s="146" t="s">
        <v>564</v>
      </c>
      <c r="X144" s="146" t="s">
        <v>564</v>
      </c>
      <c r="Y144" s="146" t="s">
        <v>564</v>
      </c>
      <c r="Z144" s="158" t="s">
        <v>3</v>
      </c>
      <c r="AA144" s="163" t="s">
        <v>3</v>
      </c>
      <c r="AB144" s="163" t="s">
        <v>3</v>
      </c>
      <c r="AC144" s="159" t="s">
        <v>3</v>
      </c>
      <c r="AD144" s="159" t="s">
        <v>3</v>
      </c>
      <c r="AE144" s="150" t="s">
        <v>3</v>
      </c>
      <c r="AF144" s="150" t="s">
        <v>3</v>
      </c>
      <c r="AG144" s="150" t="s">
        <v>3</v>
      </c>
      <c r="AH144" s="150" t="s">
        <v>3</v>
      </c>
      <c r="AI144" s="151" t="s">
        <v>3</v>
      </c>
      <c r="AJ144" s="151" t="s">
        <v>564</v>
      </c>
      <c r="AK144" s="161">
        <v>9.8924666666666692</v>
      </c>
      <c r="AL144" s="151" t="s">
        <v>3</v>
      </c>
      <c r="AM144" s="151" t="s">
        <v>564</v>
      </c>
      <c r="AN144" s="152" t="s">
        <v>564</v>
      </c>
      <c r="AO144" s="152" t="s">
        <v>564</v>
      </c>
      <c r="AP144" s="152" t="s">
        <v>564</v>
      </c>
      <c r="AQ144" s="152" t="s">
        <v>564</v>
      </c>
      <c r="AR144" s="152" t="s">
        <v>564</v>
      </c>
      <c r="AS144" s="153" t="s">
        <v>3</v>
      </c>
      <c r="AT144" s="153" t="s">
        <v>3</v>
      </c>
      <c r="AU144" s="153" t="s">
        <v>3</v>
      </c>
      <c r="AV144" s="153" t="s">
        <v>3</v>
      </c>
      <c r="AW144" s="154" t="s">
        <v>3</v>
      </c>
      <c r="AX144" s="154" t="s">
        <v>3</v>
      </c>
      <c r="AY144" s="155" t="s">
        <v>3</v>
      </c>
      <c r="AZ144" s="155" t="s">
        <v>3</v>
      </c>
      <c r="BA144" s="156" t="s">
        <v>3</v>
      </c>
    </row>
    <row r="145" spans="1:53" x14ac:dyDescent="0.25">
      <c r="A145" s="38">
        <v>142</v>
      </c>
      <c r="B145" s="139" t="s">
        <v>37</v>
      </c>
      <c r="C145" s="38" t="s">
        <v>139</v>
      </c>
      <c r="D145" s="38" t="s">
        <v>256</v>
      </c>
      <c r="E145" s="48">
        <v>351.13905299999999</v>
      </c>
      <c r="F145" s="140" t="s">
        <v>564</v>
      </c>
      <c r="G145" s="140" t="s">
        <v>564</v>
      </c>
      <c r="H145" s="140" t="s">
        <v>564</v>
      </c>
      <c r="I145" s="160" t="s">
        <v>3</v>
      </c>
      <c r="J145" s="160" t="s">
        <v>3</v>
      </c>
      <c r="K145" s="143" t="s">
        <v>3</v>
      </c>
      <c r="L145" s="145" t="s">
        <v>3</v>
      </c>
      <c r="M145" s="145">
        <v>15.516999999999999</v>
      </c>
      <c r="N145" s="145">
        <v>15.506</v>
      </c>
      <c r="O145" s="145">
        <v>15.542</v>
      </c>
      <c r="P145" s="145">
        <v>15.481</v>
      </c>
      <c r="Q145" s="145">
        <v>15.502000000000001</v>
      </c>
      <c r="R145" s="145">
        <v>15.477</v>
      </c>
      <c r="S145" s="145">
        <v>15.505000000000001</v>
      </c>
      <c r="T145" s="145">
        <v>15.492000000000001</v>
      </c>
      <c r="U145" s="145">
        <v>15.548999999999999</v>
      </c>
      <c r="V145" s="145">
        <v>15.502000000000001</v>
      </c>
      <c r="W145" s="146" t="s">
        <v>564</v>
      </c>
      <c r="X145" s="146" t="s">
        <v>564</v>
      </c>
      <c r="Y145" s="146" t="s">
        <v>564</v>
      </c>
      <c r="Z145" s="158" t="s">
        <v>3</v>
      </c>
      <c r="AA145" s="163" t="s">
        <v>3</v>
      </c>
      <c r="AB145" s="163" t="s">
        <v>3</v>
      </c>
      <c r="AC145" s="159" t="s">
        <v>3</v>
      </c>
      <c r="AD145" s="159" t="s">
        <v>3</v>
      </c>
      <c r="AE145" s="150" t="s">
        <v>3</v>
      </c>
      <c r="AF145" s="150" t="s">
        <v>3</v>
      </c>
      <c r="AG145" s="150" t="s">
        <v>3</v>
      </c>
      <c r="AH145" s="150" t="s">
        <v>3</v>
      </c>
      <c r="AI145" s="151" t="s">
        <v>3</v>
      </c>
      <c r="AJ145" s="151" t="s">
        <v>564</v>
      </c>
      <c r="AK145" s="151" t="s">
        <v>3</v>
      </c>
      <c r="AL145" s="151" t="s">
        <v>3</v>
      </c>
      <c r="AM145" s="151" t="s">
        <v>564</v>
      </c>
      <c r="AN145" s="152" t="s">
        <v>564</v>
      </c>
      <c r="AO145" s="152" t="s">
        <v>564</v>
      </c>
      <c r="AP145" s="152" t="s">
        <v>564</v>
      </c>
      <c r="AQ145" s="152" t="s">
        <v>564</v>
      </c>
      <c r="AR145" s="152" t="s">
        <v>564</v>
      </c>
      <c r="AS145" s="153" t="s">
        <v>3</v>
      </c>
      <c r="AT145" s="153" t="s">
        <v>3</v>
      </c>
      <c r="AU145" s="153" t="s">
        <v>3</v>
      </c>
      <c r="AV145" s="153" t="s">
        <v>3</v>
      </c>
      <c r="AW145" s="154" t="s">
        <v>3</v>
      </c>
      <c r="AX145" s="154" t="s">
        <v>3</v>
      </c>
      <c r="AY145" s="155" t="s">
        <v>3</v>
      </c>
      <c r="AZ145" s="155" t="s">
        <v>3</v>
      </c>
      <c r="BA145" s="156" t="s">
        <v>3</v>
      </c>
    </row>
    <row r="146" spans="1:53" x14ac:dyDescent="0.25">
      <c r="A146" s="38">
        <v>143</v>
      </c>
      <c r="B146" s="139" t="s">
        <v>38</v>
      </c>
      <c r="C146" s="38" t="s">
        <v>139</v>
      </c>
      <c r="D146" s="38" t="s">
        <v>257</v>
      </c>
      <c r="E146" s="48">
        <v>255.13905299999999</v>
      </c>
      <c r="F146" s="140" t="s">
        <v>564</v>
      </c>
      <c r="G146" s="140" t="s">
        <v>564</v>
      </c>
      <c r="H146" s="140" t="s">
        <v>564</v>
      </c>
      <c r="I146" s="160" t="s">
        <v>3</v>
      </c>
      <c r="J146" s="160" t="s">
        <v>3</v>
      </c>
      <c r="K146" s="143" t="s">
        <v>3</v>
      </c>
      <c r="L146" s="145" t="s">
        <v>3</v>
      </c>
      <c r="M146" s="145" t="s">
        <v>3</v>
      </c>
      <c r="N146" s="145" t="s">
        <v>3</v>
      </c>
      <c r="O146" s="145" t="s">
        <v>3</v>
      </c>
      <c r="P146" s="145" t="s">
        <v>3</v>
      </c>
      <c r="Q146" s="145" t="s">
        <v>3</v>
      </c>
      <c r="R146" s="145" t="s">
        <v>3</v>
      </c>
      <c r="S146" s="145" t="s">
        <v>3</v>
      </c>
      <c r="T146" s="145" t="s">
        <v>3</v>
      </c>
      <c r="U146" s="145" t="s">
        <v>3</v>
      </c>
      <c r="V146" s="145" t="s">
        <v>3</v>
      </c>
      <c r="W146" s="146" t="s">
        <v>564</v>
      </c>
      <c r="X146" s="146" t="s">
        <v>564</v>
      </c>
      <c r="Y146" s="146" t="s">
        <v>564</v>
      </c>
      <c r="Z146" s="158" t="s">
        <v>3</v>
      </c>
      <c r="AA146" s="163" t="s">
        <v>3</v>
      </c>
      <c r="AB146" s="163" t="s">
        <v>3</v>
      </c>
      <c r="AC146" s="159" t="s">
        <v>3</v>
      </c>
      <c r="AD146" s="159" t="s">
        <v>3</v>
      </c>
      <c r="AE146" s="150" t="s">
        <v>3</v>
      </c>
      <c r="AF146" s="150" t="s">
        <v>3</v>
      </c>
      <c r="AG146" s="150" t="s">
        <v>3</v>
      </c>
      <c r="AH146" s="150" t="s">
        <v>3</v>
      </c>
      <c r="AI146" s="151" t="s">
        <v>3</v>
      </c>
      <c r="AJ146" s="151" t="s">
        <v>564</v>
      </c>
      <c r="AK146" s="151" t="s">
        <v>3</v>
      </c>
      <c r="AL146" s="151" t="s">
        <v>3</v>
      </c>
      <c r="AM146" s="151" t="s">
        <v>564</v>
      </c>
      <c r="AN146" s="152" t="s">
        <v>564</v>
      </c>
      <c r="AO146" s="152" t="s">
        <v>564</v>
      </c>
      <c r="AP146" s="152" t="s">
        <v>564</v>
      </c>
      <c r="AQ146" s="152" t="s">
        <v>564</v>
      </c>
      <c r="AR146" s="152" t="s">
        <v>564</v>
      </c>
      <c r="AS146" s="153" t="s">
        <v>3</v>
      </c>
      <c r="AT146" s="153" t="s">
        <v>3</v>
      </c>
      <c r="AU146" s="153" t="s">
        <v>3</v>
      </c>
      <c r="AV146" s="153" t="s">
        <v>3</v>
      </c>
      <c r="AW146" s="154" t="s">
        <v>3</v>
      </c>
      <c r="AX146" s="154" t="s">
        <v>3</v>
      </c>
      <c r="AY146" s="155" t="s">
        <v>3</v>
      </c>
      <c r="AZ146" s="155" t="s">
        <v>3</v>
      </c>
      <c r="BA146" s="156" t="s">
        <v>3</v>
      </c>
    </row>
    <row r="147" spans="1:53" x14ac:dyDescent="0.25">
      <c r="A147" s="38">
        <v>144</v>
      </c>
      <c r="B147" s="139" t="s">
        <v>39</v>
      </c>
      <c r="C147" s="38" t="s">
        <v>139</v>
      </c>
      <c r="D147" s="38" t="s">
        <v>258</v>
      </c>
      <c r="E147" s="48">
        <v>213.09210300000001</v>
      </c>
      <c r="F147" s="140" t="s">
        <v>564</v>
      </c>
      <c r="G147" s="140" t="s">
        <v>564</v>
      </c>
      <c r="H147" s="140" t="s">
        <v>564</v>
      </c>
      <c r="I147" s="160" t="s">
        <v>3</v>
      </c>
      <c r="J147" s="160" t="s">
        <v>3</v>
      </c>
      <c r="K147" s="143" t="s">
        <v>3</v>
      </c>
      <c r="L147" s="145" t="s">
        <v>3</v>
      </c>
      <c r="M147" s="145">
        <v>11.61</v>
      </c>
      <c r="N147" s="145">
        <v>11.569000000000001</v>
      </c>
      <c r="O147" s="145">
        <v>11.617000000000001</v>
      </c>
      <c r="P147" s="145">
        <v>11.619</v>
      </c>
      <c r="Q147" s="145">
        <v>11.618</v>
      </c>
      <c r="R147" s="145">
        <v>11.557</v>
      </c>
      <c r="S147" s="145">
        <v>11.566000000000001</v>
      </c>
      <c r="T147" s="145">
        <v>11.618</v>
      </c>
      <c r="U147" s="145">
        <v>11.563000000000001</v>
      </c>
      <c r="V147" s="145">
        <v>11.555</v>
      </c>
      <c r="W147" s="146" t="s">
        <v>564</v>
      </c>
      <c r="X147" s="146" t="s">
        <v>564</v>
      </c>
      <c r="Y147" s="146" t="s">
        <v>564</v>
      </c>
      <c r="Z147" s="158" t="s">
        <v>3</v>
      </c>
      <c r="AA147" s="163" t="s">
        <v>3</v>
      </c>
      <c r="AB147" s="163" t="s">
        <v>3</v>
      </c>
      <c r="AC147" s="159" t="s">
        <v>3</v>
      </c>
      <c r="AD147" s="159" t="s">
        <v>3</v>
      </c>
      <c r="AE147" s="150" t="s">
        <v>3</v>
      </c>
      <c r="AF147" s="150" t="s">
        <v>3</v>
      </c>
      <c r="AG147" s="150" t="s">
        <v>3</v>
      </c>
      <c r="AH147" s="150" t="s">
        <v>3</v>
      </c>
      <c r="AI147" s="151" t="s">
        <v>3</v>
      </c>
      <c r="AJ147" s="151" t="s">
        <v>564</v>
      </c>
      <c r="AK147" s="151" t="s">
        <v>3</v>
      </c>
      <c r="AL147" s="151" t="s">
        <v>3</v>
      </c>
      <c r="AM147" s="151" t="s">
        <v>564</v>
      </c>
      <c r="AN147" s="152" t="s">
        <v>564</v>
      </c>
      <c r="AO147" s="152" t="s">
        <v>564</v>
      </c>
      <c r="AP147" s="152" t="s">
        <v>564</v>
      </c>
      <c r="AQ147" s="152" t="s">
        <v>564</v>
      </c>
      <c r="AR147" s="152" t="s">
        <v>564</v>
      </c>
      <c r="AS147" s="153" t="s">
        <v>3</v>
      </c>
      <c r="AT147" s="153" t="s">
        <v>3</v>
      </c>
      <c r="AU147" s="153" t="s">
        <v>3</v>
      </c>
      <c r="AV147" s="153" t="s">
        <v>3</v>
      </c>
      <c r="AW147" s="154" t="s">
        <v>3</v>
      </c>
      <c r="AX147" s="154" t="s">
        <v>3</v>
      </c>
      <c r="AY147" s="155" t="s">
        <v>3</v>
      </c>
      <c r="AZ147" s="155" t="s">
        <v>3</v>
      </c>
      <c r="BA147" s="156" t="s">
        <v>3</v>
      </c>
    </row>
    <row r="148" spans="1:53" x14ac:dyDescent="0.25">
      <c r="A148" s="38">
        <v>145</v>
      </c>
      <c r="B148" s="139" t="s">
        <v>272</v>
      </c>
      <c r="C148" s="38" t="s">
        <v>139</v>
      </c>
      <c r="D148" s="38" t="s">
        <v>259</v>
      </c>
      <c r="E148" s="48">
        <v>199.07645299999999</v>
      </c>
      <c r="F148" s="140" t="s">
        <v>564</v>
      </c>
      <c r="G148" s="140" t="s">
        <v>564</v>
      </c>
      <c r="H148" s="140" t="s">
        <v>564</v>
      </c>
      <c r="I148" s="160" t="s">
        <v>3</v>
      </c>
      <c r="J148" s="160" t="s">
        <v>3</v>
      </c>
      <c r="K148" s="143" t="s">
        <v>3</v>
      </c>
      <c r="L148" s="145">
        <v>9.43</v>
      </c>
      <c r="M148" s="145">
        <v>9.4689999999999994</v>
      </c>
      <c r="N148" s="145">
        <v>9.4480000000000004</v>
      </c>
      <c r="O148" s="145">
        <v>9.4760000000000009</v>
      </c>
      <c r="P148" s="145">
        <v>9.4580000000000002</v>
      </c>
      <c r="Q148" s="145">
        <v>9.4760000000000009</v>
      </c>
      <c r="R148" s="145">
        <v>9.4580000000000002</v>
      </c>
      <c r="S148" s="145">
        <v>9.4830000000000005</v>
      </c>
      <c r="T148" s="145">
        <v>9.5120000000000005</v>
      </c>
      <c r="U148" s="145">
        <v>9.4969999999999999</v>
      </c>
      <c r="V148" s="145">
        <v>9.4700000000000006</v>
      </c>
      <c r="W148" s="146" t="s">
        <v>564</v>
      </c>
      <c r="X148" s="146" t="s">
        <v>564</v>
      </c>
      <c r="Y148" s="146" t="s">
        <v>564</v>
      </c>
      <c r="Z148" s="158" t="s">
        <v>3</v>
      </c>
      <c r="AA148" s="163" t="s">
        <v>3</v>
      </c>
      <c r="AB148" s="163" t="s">
        <v>3</v>
      </c>
      <c r="AC148" s="159" t="s">
        <v>3</v>
      </c>
      <c r="AD148" s="159" t="s">
        <v>3</v>
      </c>
      <c r="AE148" s="150" t="s">
        <v>3</v>
      </c>
      <c r="AF148" s="150" t="s">
        <v>3</v>
      </c>
      <c r="AG148" s="150" t="s">
        <v>3</v>
      </c>
      <c r="AH148" s="150" t="s">
        <v>3</v>
      </c>
      <c r="AI148" s="151" t="s">
        <v>3</v>
      </c>
      <c r="AJ148" s="151" t="s">
        <v>564</v>
      </c>
      <c r="AK148" s="151" t="s">
        <v>3</v>
      </c>
      <c r="AL148" s="151" t="s">
        <v>3</v>
      </c>
      <c r="AM148" s="151" t="s">
        <v>564</v>
      </c>
      <c r="AN148" s="152" t="s">
        <v>564</v>
      </c>
      <c r="AO148" s="152" t="s">
        <v>564</v>
      </c>
      <c r="AP148" s="152" t="s">
        <v>564</v>
      </c>
      <c r="AQ148" s="152" t="s">
        <v>564</v>
      </c>
      <c r="AR148" s="152" t="s">
        <v>564</v>
      </c>
      <c r="AS148" s="153" t="s">
        <v>3</v>
      </c>
      <c r="AT148" s="153" t="s">
        <v>3</v>
      </c>
      <c r="AU148" s="153" t="s">
        <v>3</v>
      </c>
      <c r="AV148" s="153" t="s">
        <v>3</v>
      </c>
      <c r="AW148" s="154" t="s">
        <v>3</v>
      </c>
      <c r="AX148" s="154" t="s">
        <v>3</v>
      </c>
      <c r="AY148" s="155" t="s">
        <v>3</v>
      </c>
      <c r="AZ148" s="155" t="s">
        <v>3</v>
      </c>
      <c r="BA148" s="156" t="s">
        <v>3</v>
      </c>
    </row>
    <row r="149" spans="1:53" x14ac:dyDescent="0.25">
      <c r="A149" s="38">
        <v>146</v>
      </c>
      <c r="B149" s="139" t="s">
        <v>273</v>
      </c>
      <c r="C149" s="38" t="s">
        <v>139</v>
      </c>
      <c r="D149" s="38" t="s">
        <v>259</v>
      </c>
      <c r="E149" s="48">
        <v>199.07645299999999</v>
      </c>
      <c r="F149" s="140" t="s">
        <v>564</v>
      </c>
      <c r="G149" s="140" t="s">
        <v>564</v>
      </c>
      <c r="H149" s="140" t="s">
        <v>564</v>
      </c>
      <c r="I149" s="160" t="s">
        <v>3</v>
      </c>
      <c r="J149" s="160" t="s">
        <v>3</v>
      </c>
      <c r="K149" s="143" t="s">
        <v>3</v>
      </c>
      <c r="L149" s="145">
        <v>9.43</v>
      </c>
      <c r="M149" s="145">
        <v>9.4689999999999994</v>
      </c>
      <c r="N149" s="145">
        <v>9.4480000000000004</v>
      </c>
      <c r="O149" s="145">
        <v>9.4760000000000009</v>
      </c>
      <c r="P149" s="145">
        <v>9.4580000000000002</v>
      </c>
      <c r="Q149" s="145">
        <v>9.4760000000000009</v>
      </c>
      <c r="R149" s="145">
        <v>9.4580000000000002</v>
      </c>
      <c r="S149" s="145">
        <v>9.4830000000000005</v>
      </c>
      <c r="T149" s="145">
        <v>9.5120000000000005</v>
      </c>
      <c r="U149" s="145">
        <v>9.4969999999999999</v>
      </c>
      <c r="V149" s="145">
        <v>9.4700000000000006</v>
      </c>
      <c r="W149" s="146" t="s">
        <v>564</v>
      </c>
      <c r="X149" s="146" t="s">
        <v>564</v>
      </c>
      <c r="Y149" s="146" t="s">
        <v>564</v>
      </c>
      <c r="Z149" s="158" t="s">
        <v>3</v>
      </c>
      <c r="AA149" s="163" t="s">
        <v>3</v>
      </c>
      <c r="AB149" s="163" t="s">
        <v>3</v>
      </c>
      <c r="AC149" s="159" t="s">
        <v>3</v>
      </c>
      <c r="AD149" s="159" t="s">
        <v>3</v>
      </c>
      <c r="AE149" s="150" t="s">
        <v>3</v>
      </c>
      <c r="AF149" s="150" t="s">
        <v>3</v>
      </c>
      <c r="AG149" s="150" t="s">
        <v>3</v>
      </c>
      <c r="AH149" s="150" t="s">
        <v>3</v>
      </c>
      <c r="AI149" s="151" t="s">
        <v>3</v>
      </c>
      <c r="AJ149" s="151" t="s">
        <v>564</v>
      </c>
      <c r="AK149" s="151" t="s">
        <v>3</v>
      </c>
      <c r="AL149" s="151" t="s">
        <v>3</v>
      </c>
      <c r="AM149" s="151" t="s">
        <v>564</v>
      </c>
      <c r="AN149" s="152" t="s">
        <v>564</v>
      </c>
      <c r="AO149" s="152" t="s">
        <v>564</v>
      </c>
      <c r="AP149" s="152" t="s">
        <v>564</v>
      </c>
      <c r="AQ149" s="152" t="s">
        <v>564</v>
      </c>
      <c r="AR149" s="152" t="s">
        <v>564</v>
      </c>
      <c r="AS149" s="153" t="s">
        <v>3</v>
      </c>
      <c r="AT149" s="153" t="s">
        <v>3</v>
      </c>
      <c r="AU149" s="153" t="s">
        <v>3</v>
      </c>
      <c r="AV149" s="153" t="s">
        <v>3</v>
      </c>
      <c r="AW149" s="154" t="s">
        <v>3</v>
      </c>
      <c r="AX149" s="154" t="s">
        <v>3</v>
      </c>
      <c r="AY149" s="155" t="s">
        <v>3</v>
      </c>
      <c r="AZ149" s="155" t="s">
        <v>3</v>
      </c>
      <c r="BA149" s="156" t="s">
        <v>3</v>
      </c>
    </row>
    <row r="150" spans="1:53" x14ac:dyDescent="0.25">
      <c r="A150" s="38">
        <v>147</v>
      </c>
      <c r="B150" s="139" t="s">
        <v>40</v>
      </c>
      <c r="C150" s="38" t="s">
        <v>139</v>
      </c>
      <c r="D150" s="38" t="s">
        <v>260</v>
      </c>
      <c r="E150" s="48">
        <v>349.123403</v>
      </c>
      <c r="F150" s="140" t="s">
        <v>564</v>
      </c>
      <c r="G150" s="140" t="s">
        <v>564</v>
      </c>
      <c r="H150" s="140" t="s">
        <v>564</v>
      </c>
      <c r="I150" s="160" t="s">
        <v>3</v>
      </c>
      <c r="J150" s="160" t="s">
        <v>3</v>
      </c>
      <c r="K150" s="143" t="s">
        <v>3</v>
      </c>
      <c r="L150" s="145" t="s">
        <v>3</v>
      </c>
      <c r="M150" s="145">
        <v>10.576000000000001</v>
      </c>
      <c r="N150" s="145">
        <v>10.481</v>
      </c>
      <c r="O150" s="145">
        <v>10.574</v>
      </c>
      <c r="P150" s="145">
        <v>10.457000000000001</v>
      </c>
      <c r="Q150" s="145">
        <v>10.715999999999999</v>
      </c>
      <c r="R150" s="145">
        <v>10.456</v>
      </c>
      <c r="S150" s="145" t="s">
        <v>3</v>
      </c>
      <c r="T150" s="145">
        <v>10.558</v>
      </c>
      <c r="U150" s="145">
        <v>10.535</v>
      </c>
      <c r="V150" s="145">
        <v>10.555999999999999</v>
      </c>
      <c r="W150" s="146" t="s">
        <v>564</v>
      </c>
      <c r="X150" s="146" t="s">
        <v>564</v>
      </c>
      <c r="Y150" s="146" t="s">
        <v>564</v>
      </c>
      <c r="Z150" s="158" t="s">
        <v>3</v>
      </c>
      <c r="AA150" s="163" t="s">
        <v>3</v>
      </c>
      <c r="AB150" s="163" t="s">
        <v>3</v>
      </c>
      <c r="AC150" s="159" t="s">
        <v>3</v>
      </c>
      <c r="AD150" s="159" t="s">
        <v>3</v>
      </c>
      <c r="AE150" s="150" t="s">
        <v>3</v>
      </c>
      <c r="AF150" s="150" t="s">
        <v>3</v>
      </c>
      <c r="AG150" s="150" t="s">
        <v>3</v>
      </c>
      <c r="AH150" s="150" t="s">
        <v>3</v>
      </c>
      <c r="AI150" s="151" t="s">
        <v>3</v>
      </c>
      <c r="AJ150" s="151" t="s">
        <v>564</v>
      </c>
      <c r="AK150" s="151" t="s">
        <v>3</v>
      </c>
      <c r="AL150" s="151" t="s">
        <v>3</v>
      </c>
      <c r="AM150" s="151" t="s">
        <v>564</v>
      </c>
      <c r="AN150" s="152" t="s">
        <v>564</v>
      </c>
      <c r="AO150" s="152" t="s">
        <v>564</v>
      </c>
      <c r="AP150" s="152" t="s">
        <v>564</v>
      </c>
      <c r="AQ150" s="152" t="s">
        <v>564</v>
      </c>
      <c r="AR150" s="152" t="s">
        <v>564</v>
      </c>
      <c r="AS150" s="153" t="s">
        <v>3</v>
      </c>
      <c r="AT150" s="153" t="s">
        <v>3</v>
      </c>
      <c r="AU150" s="153" t="s">
        <v>3</v>
      </c>
      <c r="AV150" s="153" t="s">
        <v>3</v>
      </c>
      <c r="AW150" s="154" t="s">
        <v>3</v>
      </c>
      <c r="AX150" s="154" t="s">
        <v>3</v>
      </c>
      <c r="AY150" s="155" t="s">
        <v>3</v>
      </c>
      <c r="AZ150" s="155" t="s">
        <v>3</v>
      </c>
      <c r="BA150" s="156" t="s">
        <v>3</v>
      </c>
    </row>
    <row r="151" spans="1:53" x14ac:dyDescent="0.25">
      <c r="A151" s="38">
        <v>148</v>
      </c>
      <c r="B151" s="139" t="s">
        <v>41</v>
      </c>
      <c r="C151" s="38" t="s">
        <v>139</v>
      </c>
      <c r="D151" s="38" t="s">
        <v>261</v>
      </c>
      <c r="E151" s="48">
        <v>311.20165400000002</v>
      </c>
      <c r="F151" s="140" t="s">
        <v>564</v>
      </c>
      <c r="G151" s="140" t="s">
        <v>564</v>
      </c>
      <c r="H151" s="140" t="s">
        <v>564</v>
      </c>
      <c r="I151" s="160" t="s">
        <v>3</v>
      </c>
      <c r="J151" s="160" t="s">
        <v>3</v>
      </c>
      <c r="K151" s="143" t="s">
        <v>3</v>
      </c>
      <c r="L151" s="144" t="s">
        <v>3</v>
      </c>
      <c r="M151" s="144" t="s">
        <v>3</v>
      </c>
      <c r="N151" s="144" t="s">
        <v>3</v>
      </c>
      <c r="O151" s="144" t="s">
        <v>3</v>
      </c>
      <c r="P151" s="144" t="s">
        <v>3</v>
      </c>
      <c r="Q151" s="144" t="s">
        <v>3</v>
      </c>
      <c r="R151" s="144" t="s">
        <v>3</v>
      </c>
      <c r="S151" s="144" t="s">
        <v>3</v>
      </c>
      <c r="T151" s="144" t="s">
        <v>3</v>
      </c>
      <c r="U151" s="144" t="s">
        <v>3</v>
      </c>
      <c r="V151" s="144" t="s">
        <v>3</v>
      </c>
      <c r="W151" s="146" t="s">
        <v>564</v>
      </c>
      <c r="X151" s="146" t="s">
        <v>564</v>
      </c>
      <c r="Y151" s="146" t="s">
        <v>564</v>
      </c>
      <c r="Z151" s="147" t="s">
        <v>3</v>
      </c>
      <c r="AA151" s="148" t="s">
        <v>3</v>
      </c>
      <c r="AB151" s="148" t="s">
        <v>3</v>
      </c>
      <c r="AC151" s="149" t="s">
        <v>3</v>
      </c>
      <c r="AD151" s="149" t="s">
        <v>3</v>
      </c>
      <c r="AE151" s="150" t="s">
        <v>3</v>
      </c>
      <c r="AF151" s="150" t="s">
        <v>3</v>
      </c>
      <c r="AG151" s="150">
        <v>12.904999999999999</v>
      </c>
      <c r="AH151" s="150" t="s">
        <v>3</v>
      </c>
      <c r="AI151" s="151" t="s">
        <v>3</v>
      </c>
      <c r="AJ151" s="151" t="s">
        <v>564</v>
      </c>
      <c r="AK151" s="151" t="s">
        <v>3</v>
      </c>
      <c r="AL151" s="151" t="s">
        <v>3</v>
      </c>
      <c r="AM151" s="151" t="s">
        <v>564</v>
      </c>
      <c r="AN151" s="152" t="s">
        <v>564</v>
      </c>
      <c r="AO151" s="152" t="s">
        <v>564</v>
      </c>
      <c r="AP151" s="152" t="s">
        <v>564</v>
      </c>
      <c r="AQ151" s="152" t="s">
        <v>564</v>
      </c>
      <c r="AR151" s="152" t="s">
        <v>564</v>
      </c>
      <c r="AS151" s="153" t="s">
        <v>3</v>
      </c>
      <c r="AT151" s="153" t="s">
        <v>3</v>
      </c>
      <c r="AU151" s="153" t="s">
        <v>3</v>
      </c>
      <c r="AV151" s="153" t="s">
        <v>3</v>
      </c>
      <c r="AW151" s="154" t="s">
        <v>3</v>
      </c>
      <c r="AX151" s="154" t="s">
        <v>3</v>
      </c>
      <c r="AY151" s="155" t="s">
        <v>3</v>
      </c>
      <c r="AZ151" s="155" t="s">
        <v>3</v>
      </c>
      <c r="BA151" s="156" t="s">
        <v>3</v>
      </c>
    </row>
    <row r="152" spans="1:53" x14ac:dyDescent="0.25">
      <c r="A152" s="38">
        <v>149</v>
      </c>
      <c r="B152" s="139" t="s">
        <v>42</v>
      </c>
      <c r="C152" s="38" t="s">
        <v>139</v>
      </c>
      <c r="D152" s="38" t="s">
        <v>262</v>
      </c>
      <c r="E152" s="48">
        <v>345.18600400000003</v>
      </c>
      <c r="F152" s="140" t="s">
        <v>564</v>
      </c>
      <c r="G152" s="140" t="s">
        <v>564</v>
      </c>
      <c r="H152" s="140" t="s">
        <v>564</v>
      </c>
      <c r="I152" s="160" t="s">
        <v>3</v>
      </c>
      <c r="J152" s="160" t="s">
        <v>3</v>
      </c>
      <c r="K152" s="143" t="s">
        <v>3</v>
      </c>
      <c r="L152" s="145" t="s">
        <v>3</v>
      </c>
      <c r="M152" s="145" t="s">
        <v>3</v>
      </c>
      <c r="N152" s="145" t="s">
        <v>3</v>
      </c>
      <c r="O152" s="145" t="s">
        <v>3</v>
      </c>
      <c r="P152" s="145" t="s">
        <v>3</v>
      </c>
      <c r="Q152" s="145" t="s">
        <v>3</v>
      </c>
      <c r="R152" s="145" t="s">
        <v>3</v>
      </c>
      <c r="S152" s="145" t="s">
        <v>3</v>
      </c>
      <c r="T152" s="145" t="s">
        <v>3</v>
      </c>
      <c r="U152" s="145" t="s">
        <v>3</v>
      </c>
      <c r="V152" s="145" t="s">
        <v>3</v>
      </c>
      <c r="W152" s="146" t="s">
        <v>564</v>
      </c>
      <c r="X152" s="146" t="s">
        <v>564</v>
      </c>
      <c r="Y152" s="146" t="s">
        <v>564</v>
      </c>
      <c r="Z152" s="158" t="s">
        <v>3</v>
      </c>
      <c r="AA152" s="163" t="s">
        <v>3</v>
      </c>
      <c r="AB152" s="163" t="s">
        <v>3</v>
      </c>
      <c r="AC152" s="159" t="s">
        <v>3</v>
      </c>
      <c r="AD152" s="159" t="s">
        <v>3</v>
      </c>
      <c r="AE152" s="150" t="s">
        <v>3</v>
      </c>
      <c r="AF152" s="150" t="s">
        <v>3</v>
      </c>
      <c r="AG152" s="150" t="s">
        <v>3</v>
      </c>
      <c r="AH152" s="150" t="s">
        <v>3</v>
      </c>
      <c r="AI152" s="151" t="s">
        <v>3</v>
      </c>
      <c r="AJ152" s="151" t="s">
        <v>564</v>
      </c>
      <c r="AK152" s="151" t="s">
        <v>3</v>
      </c>
      <c r="AL152" s="151" t="s">
        <v>3</v>
      </c>
      <c r="AM152" s="151" t="s">
        <v>564</v>
      </c>
      <c r="AN152" s="152" t="s">
        <v>564</v>
      </c>
      <c r="AO152" s="152" t="s">
        <v>564</v>
      </c>
      <c r="AP152" s="152" t="s">
        <v>564</v>
      </c>
      <c r="AQ152" s="152" t="s">
        <v>564</v>
      </c>
      <c r="AR152" s="152" t="s">
        <v>564</v>
      </c>
      <c r="AS152" s="153" t="s">
        <v>3</v>
      </c>
      <c r="AT152" s="153" t="s">
        <v>3</v>
      </c>
      <c r="AU152" s="153" t="s">
        <v>3</v>
      </c>
      <c r="AV152" s="153" t="s">
        <v>3</v>
      </c>
      <c r="AW152" s="154" t="s">
        <v>3</v>
      </c>
      <c r="AX152" s="154" t="s">
        <v>3</v>
      </c>
      <c r="AY152" s="155" t="s">
        <v>3</v>
      </c>
      <c r="AZ152" s="155" t="s">
        <v>3</v>
      </c>
      <c r="BA152" s="156" t="s">
        <v>3</v>
      </c>
    </row>
    <row r="153" spans="1:53" x14ac:dyDescent="0.25">
      <c r="A153" s="38">
        <v>150</v>
      </c>
      <c r="B153" s="139" t="s">
        <v>43</v>
      </c>
      <c r="C153" s="38" t="s">
        <v>139</v>
      </c>
      <c r="D153" s="38" t="s">
        <v>262</v>
      </c>
      <c r="E153" s="48">
        <v>345.18600400000003</v>
      </c>
      <c r="F153" s="140" t="s">
        <v>564</v>
      </c>
      <c r="G153" s="140" t="s">
        <v>564</v>
      </c>
      <c r="H153" s="140" t="s">
        <v>564</v>
      </c>
      <c r="I153" s="160" t="s">
        <v>3</v>
      </c>
      <c r="J153" s="160" t="s">
        <v>3</v>
      </c>
      <c r="K153" s="143" t="s">
        <v>3</v>
      </c>
      <c r="L153" s="145" t="s">
        <v>3</v>
      </c>
      <c r="M153" s="145" t="s">
        <v>3</v>
      </c>
      <c r="N153" s="145" t="s">
        <v>3</v>
      </c>
      <c r="O153" s="145" t="s">
        <v>3</v>
      </c>
      <c r="P153" s="145" t="s">
        <v>3</v>
      </c>
      <c r="Q153" s="145" t="s">
        <v>3</v>
      </c>
      <c r="R153" s="145" t="s">
        <v>3</v>
      </c>
      <c r="S153" s="145" t="s">
        <v>3</v>
      </c>
      <c r="T153" s="145" t="s">
        <v>3</v>
      </c>
      <c r="U153" s="145" t="s">
        <v>3</v>
      </c>
      <c r="V153" s="145" t="s">
        <v>3</v>
      </c>
      <c r="W153" s="146" t="s">
        <v>564</v>
      </c>
      <c r="X153" s="146" t="s">
        <v>564</v>
      </c>
      <c r="Y153" s="146" t="s">
        <v>564</v>
      </c>
      <c r="Z153" s="158" t="s">
        <v>3</v>
      </c>
      <c r="AA153" s="163" t="s">
        <v>3</v>
      </c>
      <c r="AB153" s="163" t="s">
        <v>3</v>
      </c>
      <c r="AC153" s="159" t="s">
        <v>3</v>
      </c>
      <c r="AD153" s="159" t="s">
        <v>3</v>
      </c>
      <c r="AE153" s="150" t="s">
        <v>3</v>
      </c>
      <c r="AF153" s="150" t="s">
        <v>3</v>
      </c>
      <c r="AG153" s="150" t="s">
        <v>3</v>
      </c>
      <c r="AH153" s="150" t="s">
        <v>3</v>
      </c>
      <c r="AI153" s="151" t="s">
        <v>3</v>
      </c>
      <c r="AJ153" s="151" t="s">
        <v>564</v>
      </c>
      <c r="AK153" s="151" t="s">
        <v>3</v>
      </c>
      <c r="AL153" s="151" t="s">
        <v>3</v>
      </c>
      <c r="AM153" s="151" t="s">
        <v>564</v>
      </c>
      <c r="AN153" s="152" t="s">
        <v>564</v>
      </c>
      <c r="AO153" s="152" t="s">
        <v>564</v>
      </c>
      <c r="AP153" s="152" t="s">
        <v>564</v>
      </c>
      <c r="AQ153" s="152" t="s">
        <v>564</v>
      </c>
      <c r="AR153" s="152" t="s">
        <v>564</v>
      </c>
      <c r="AS153" s="153" t="s">
        <v>3</v>
      </c>
      <c r="AT153" s="153" t="s">
        <v>3</v>
      </c>
      <c r="AU153" s="153" t="s">
        <v>3</v>
      </c>
      <c r="AV153" s="153" t="s">
        <v>3</v>
      </c>
      <c r="AW153" s="154" t="s">
        <v>3</v>
      </c>
      <c r="AX153" s="154" t="s">
        <v>3</v>
      </c>
      <c r="AY153" s="155" t="s">
        <v>3</v>
      </c>
      <c r="AZ153" s="155" t="s">
        <v>3</v>
      </c>
      <c r="BA153" s="156" t="s">
        <v>3</v>
      </c>
    </row>
    <row r="154" spans="1:53" x14ac:dyDescent="0.25">
      <c r="A154" s="38">
        <v>151</v>
      </c>
      <c r="B154" s="139" t="s">
        <v>44</v>
      </c>
      <c r="C154" s="38" t="s">
        <v>139</v>
      </c>
      <c r="D154" s="38" t="s">
        <v>263</v>
      </c>
      <c r="E154" s="48">
        <v>249.02270300000001</v>
      </c>
      <c r="F154" s="140" t="s">
        <v>564</v>
      </c>
      <c r="G154" s="140" t="s">
        <v>564</v>
      </c>
      <c r="H154" s="140" t="s">
        <v>564</v>
      </c>
      <c r="I154" s="160" t="s">
        <v>3</v>
      </c>
      <c r="J154" s="160" t="s">
        <v>3</v>
      </c>
      <c r="K154" s="164">
        <v>25.878</v>
      </c>
      <c r="L154" s="145" t="s">
        <v>3</v>
      </c>
      <c r="M154" s="145">
        <v>7.7679999999999998</v>
      </c>
      <c r="N154" s="145">
        <v>7.7270000000000003</v>
      </c>
      <c r="O154" s="145">
        <v>7.7110000000000003</v>
      </c>
      <c r="P154" s="145">
        <v>7.6959999999999997</v>
      </c>
      <c r="Q154" s="145">
        <v>7.6719999999999997</v>
      </c>
      <c r="R154" s="145">
        <v>7.6769999999999996</v>
      </c>
      <c r="S154" s="145">
        <v>7.7160000000000002</v>
      </c>
      <c r="T154" s="145">
        <v>7.66</v>
      </c>
      <c r="U154" s="145">
        <v>7.6609999999999996</v>
      </c>
      <c r="V154" s="145">
        <v>7.7249999999999996</v>
      </c>
      <c r="W154" s="146" t="s">
        <v>564</v>
      </c>
      <c r="X154" s="146" t="s">
        <v>564</v>
      </c>
      <c r="Y154" s="146" t="s">
        <v>564</v>
      </c>
      <c r="Z154" s="158">
        <v>7.3</v>
      </c>
      <c r="AA154" s="163" t="s">
        <v>3</v>
      </c>
      <c r="AB154" s="163">
        <v>7.3920000000000003</v>
      </c>
      <c r="AC154" s="159" t="s">
        <v>3</v>
      </c>
      <c r="AD154" s="159" t="s">
        <v>3</v>
      </c>
      <c r="AE154" s="150">
        <v>5.1760000000000002</v>
      </c>
      <c r="AF154" s="150" t="s">
        <v>3</v>
      </c>
      <c r="AG154" s="150" t="s">
        <v>3</v>
      </c>
      <c r="AH154" s="150" t="s">
        <v>3</v>
      </c>
      <c r="AI154" s="151" t="s">
        <v>3</v>
      </c>
      <c r="AJ154" s="151" t="s">
        <v>564</v>
      </c>
      <c r="AK154" s="151" t="s">
        <v>3</v>
      </c>
      <c r="AL154" s="151" t="s">
        <v>3</v>
      </c>
      <c r="AM154" s="151" t="s">
        <v>564</v>
      </c>
      <c r="AN154" s="152" t="s">
        <v>564</v>
      </c>
      <c r="AO154" s="152" t="s">
        <v>564</v>
      </c>
      <c r="AP154" s="152" t="s">
        <v>564</v>
      </c>
      <c r="AQ154" s="152" t="s">
        <v>564</v>
      </c>
      <c r="AR154" s="152" t="s">
        <v>564</v>
      </c>
      <c r="AS154" s="153" t="s">
        <v>3</v>
      </c>
      <c r="AT154" s="153" t="s">
        <v>3</v>
      </c>
      <c r="AU154" s="153" t="s">
        <v>3</v>
      </c>
      <c r="AV154" s="153">
        <v>20.96</v>
      </c>
      <c r="AW154" s="154" t="s">
        <v>3</v>
      </c>
      <c r="AX154" s="154" t="s">
        <v>3</v>
      </c>
      <c r="AY154" s="155" t="s">
        <v>3</v>
      </c>
      <c r="AZ154" s="155" t="s">
        <v>3</v>
      </c>
      <c r="BA154" s="156" t="s">
        <v>3</v>
      </c>
    </row>
    <row r="155" spans="1:53" x14ac:dyDescent="0.25">
      <c r="A155" s="38">
        <v>152</v>
      </c>
      <c r="B155" s="139" t="s">
        <v>45</v>
      </c>
      <c r="C155" s="38" t="s">
        <v>139</v>
      </c>
      <c r="D155" s="38" t="s">
        <v>264</v>
      </c>
      <c r="E155" s="48">
        <v>309.18600400000003</v>
      </c>
      <c r="F155" s="140" t="s">
        <v>564</v>
      </c>
      <c r="G155" s="140" t="s">
        <v>564</v>
      </c>
      <c r="H155" s="140" t="s">
        <v>564</v>
      </c>
      <c r="I155" s="160" t="s">
        <v>3</v>
      </c>
      <c r="J155" s="160" t="s">
        <v>3</v>
      </c>
      <c r="K155" s="143" t="s">
        <v>3</v>
      </c>
      <c r="L155" s="144" t="s">
        <v>3</v>
      </c>
      <c r="M155" s="144" t="s">
        <v>3</v>
      </c>
      <c r="N155" s="144" t="s">
        <v>3</v>
      </c>
      <c r="O155" s="144" t="s">
        <v>3</v>
      </c>
      <c r="P155" s="144" t="s">
        <v>3</v>
      </c>
      <c r="Q155" s="144" t="s">
        <v>3</v>
      </c>
      <c r="R155" s="144" t="s">
        <v>3</v>
      </c>
      <c r="S155" s="144" t="s">
        <v>3</v>
      </c>
      <c r="T155" s="144" t="s">
        <v>3</v>
      </c>
      <c r="U155" s="144" t="s">
        <v>3</v>
      </c>
      <c r="V155" s="144" t="s">
        <v>3</v>
      </c>
      <c r="W155" s="146" t="s">
        <v>564</v>
      </c>
      <c r="X155" s="146" t="s">
        <v>564</v>
      </c>
      <c r="Y155" s="146" t="s">
        <v>564</v>
      </c>
      <c r="Z155" s="147" t="s">
        <v>3</v>
      </c>
      <c r="AA155" s="148" t="s">
        <v>3</v>
      </c>
      <c r="AB155" s="148" t="s">
        <v>3</v>
      </c>
      <c r="AC155" s="149" t="s">
        <v>3</v>
      </c>
      <c r="AD155" s="149" t="s">
        <v>3</v>
      </c>
      <c r="AE155" s="150" t="s">
        <v>3</v>
      </c>
      <c r="AF155" s="150" t="s">
        <v>3</v>
      </c>
      <c r="AG155" s="150" t="s">
        <v>3</v>
      </c>
      <c r="AH155" s="150" t="s">
        <v>3</v>
      </c>
      <c r="AI155" s="151" t="s">
        <v>3</v>
      </c>
      <c r="AJ155" s="151" t="s">
        <v>564</v>
      </c>
      <c r="AK155" s="151" t="s">
        <v>3</v>
      </c>
      <c r="AL155" s="151" t="s">
        <v>3</v>
      </c>
      <c r="AM155" s="151" t="s">
        <v>564</v>
      </c>
      <c r="AN155" s="152" t="s">
        <v>564</v>
      </c>
      <c r="AO155" s="152" t="s">
        <v>564</v>
      </c>
      <c r="AP155" s="152" t="s">
        <v>564</v>
      </c>
      <c r="AQ155" s="152" t="s">
        <v>564</v>
      </c>
      <c r="AR155" s="152" t="s">
        <v>564</v>
      </c>
      <c r="AS155" s="153" t="s">
        <v>3</v>
      </c>
      <c r="AT155" s="153" t="s">
        <v>3</v>
      </c>
      <c r="AU155" s="153" t="s">
        <v>3</v>
      </c>
      <c r="AV155" s="153" t="s">
        <v>3</v>
      </c>
      <c r="AW155" s="154" t="s">
        <v>3</v>
      </c>
      <c r="AX155" s="154" t="s">
        <v>3</v>
      </c>
      <c r="AY155" s="155" t="s">
        <v>3</v>
      </c>
      <c r="AZ155" s="155" t="s">
        <v>3</v>
      </c>
      <c r="BA155" s="156" t="s">
        <v>3</v>
      </c>
    </row>
    <row r="156" spans="1:53" x14ac:dyDescent="0.25">
      <c r="A156" s="38">
        <v>153</v>
      </c>
      <c r="B156" s="139" t="s">
        <v>46</v>
      </c>
      <c r="C156" s="38" t="s">
        <v>139</v>
      </c>
      <c r="D156" s="38" t="s">
        <v>265</v>
      </c>
      <c r="E156" s="48">
        <v>267.13905299999999</v>
      </c>
      <c r="F156" s="140" t="s">
        <v>564</v>
      </c>
      <c r="G156" s="140" t="s">
        <v>564</v>
      </c>
      <c r="H156" s="140" t="s">
        <v>564</v>
      </c>
      <c r="I156" s="160" t="s">
        <v>3</v>
      </c>
      <c r="J156" s="160" t="s">
        <v>3</v>
      </c>
      <c r="K156" s="143" t="s">
        <v>3</v>
      </c>
      <c r="L156" s="145" t="s">
        <v>3</v>
      </c>
      <c r="M156" s="145" t="s">
        <v>3</v>
      </c>
      <c r="N156" s="145" t="s">
        <v>3</v>
      </c>
      <c r="O156" s="145" t="s">
        <v>3</v>
      </c>
      <c r="P156" s="145" t="s">
        <v>3</v>
      </c>
      <c r="Q156" s="145" t="s">
        <v>3</v>
      </c>
      <c r="R156" s="145" t="s">
        <v>3</v>
      </c>
      <c r="S156" s="145" t="s">
        <v>3</v>
      </c>
      <c r="T156" s="145" t="s">
        <v>3</v>
      </c>
      <c r="U156" s="145" t="s">
        <v>3</v>
      </c>
      <c r="V156" s="145" t="s">
        <v>3</v>
      </c>
      <c r="W156" s="146" t="s">
        <v>564</v>
      </c>
      <c r="X156" s="146" t="s">
        <v>564</v>
      </c>
      <c r="Y156" s="146" t="s">
        <v>564</v>
      </c>
      <c r="Z156" s="158" t="s">
        <v>3</v>
      </c>
      <c r="AA156" s="163" t="s">
        <v>3</v>
      </c>
      <c r="AB156" s="163" t="s">
        <v>3</v>
      </c>
      <c r="AC156" s="159" t="s">
        <v>3</v>
      </c>
      <c r="AD156" s="159" t="s">
        <v>3</v>
      </c>
      <c r="AE156" s="150" t="s">
        <v>3</v>
      </c>
      <c r="AF156" s="150" t="s">
        <v>3</v>
      </c>
      <c r="AG156" s="150" t="s">
        <v>3</v>
      </c>
      <c r="AH156" s="150" t="s">
        <v>3</v>
      </c>
      <c r="AI156" s="151" t="s">
        <v>3</v>
      </c>
      <c r="AJ156" s="151" t="s">
        <v>564</v>
      </c>
      <c r="AK156" s="151" t="s">
        <v>3</v>
      </c>
      <c r="AL156" s="151" t="s">
        <v>3</v>
      </c>
      <c r="AM156" s="151" t="s">
        <v>564</v>
      </c>
      <c r="AN156" s="152" t="s">
        <v>564</v>
      </c>
      <c r="AO156" s="152" t="s">
        <v>564</v>
      </c>
      <c r="AP156" s="152" t="s">
        <v>564</v>
      </c>
      <c r="AQ156" s="152" t="s">
        <v>564</v>
      </c>
      <c r="AR156" s="152" t="s">
        <v>564</v>
      </c>
      <c r="AS156" s="153" t="s">
        <v>3</v>
      </c>
      <c r="AT156" s="153" t="s">
        <v>3</v>
      </c>
      <c r="AU156" s="153" t="s">
        <v>3</v>
      </c>
      <c r="AV156" s="153" t="s">
        <v>3</v>
      </c>
      <c r="AW156" s="154" t="s">
        <v>3</v>
      </c>
      <c r="AX156" s="154" t="s">
        <v>3</v>
      </c>
      <c r="AY156" s="155" t="s">
        <v>3</v>
      </c>
      <c r="AZ156" s="155" t="s">
        <v>3</v>
      </c>
      <c r="BA156" s="156" t="s">
        <v>3</v>
      </c>
    </row>
    <row r="157" spans="1:53" x14ac:dyDescent="0.25">
      <c r="A157" s="38">
        <v>154</v>
      </c>
      <c r="B157" s="139" t="s">
        <v>47</v>
      </c>
      <c r="C157" s="38" t="s">
        <v>139</v>
      </c>
      <c r="D157" s="38" t="s">
        <v>266</v>
      </c>
      <c r="E157" s="48">
        <v>542.74580200000003</v>
      </c>
      <c r="F157" s="140" t="s">
        <v>564</v>
      </c>
      <c r="G157" s="140" t="s">
        <v>564</v>
      </c>
      <c r="H157" s="140" t="s">
        <v>564</v>
      </c>
      <c r="I157" s="160" t="s">
        <v>3</v>
      </c>
      <c r="J157" s="160" t="s">
        <v>3</v>
      </c>
      <c r="K157" s="143" t="s">
        <v>3</v>
      </c>
      <c r="L157" s="145" t="s">
        <v>3</v>
      </c>
      <c r="M157" s="145" t="s">
        <v>3</v>
      </c>
      <c r="N157" s="145" t="s">
        <v>3</v>
      </c>
      <c r="O157" s="145" t="s">
        <v>3</v>
      </c>
      <c r="P157" s="145" t="s">
        <v>3</v>
      </c>
      <c r="Q157" s="145" t="s">
        <v>3</v>
      </c>
      <c r="R157" s="145" t="s">
        <v>3</v>
      </c>
      <c r="S157" s="145" t="s">
        <v>3</v>
      </c>
      <c r="T157" s="145" t="s">
        <v>3</v>
      </c>
      <c r="U157" s="145" t="s">
        <v>3</v>
      </c>
      <c r="V157" s="145" t="s">
        <v>3</v>
      </c>
      <c r="W157" s="146" t="s">
        <v>564</v>
      </c>
      <c r="X157" s="146" t="s">
        <v>564</v>
      </c>
      <c r="Y157" s="146" t="s">
        <v>564</v>
      </c>
      <c r="Z157" s="158" t="s">
        <v>3</v>
      </c>
      <c r="AA157" s="163" t="s">
        <v>3</v>
      </c>
      <c r="AB157" s="163" t="s">
        <v>3</v>
      </c>
      <c r="AC157" s="159" t="s">
        <v>3</v>
      </c>
      <c r="AD157" s="159" t="s">
        <v>3</v>
      </c>
      <c r="AE157" s="150" t="s">
        <v>3</v>
      </c>
      <c r="AF157" s="150" t="s">
        <v>3</v>
      </c>
      <c r="AG157" s="150" t="s">
        <v>3</v>
      </c>
      <c r="AH157" s="150" t="s">
        <v>3</v>
      </c>
      <c r="AI157" s="151" t="s">
        <v>3</v>
      </c>
      <c r="AJ157" s="151" t="s">
        <v>564</v>
      </c>
      <c r="AK157" s="151" t="s">
        <v>3</v>
      </c>
      <c r="AL157" s="151" t="s">
        <v>3</v>
      </c>
      <c r="AM157" s="151" t="s">
        <v>564</v>
      </c>
      <c r="AN157" s="152" t="s">
        <v>564</v>
      </c>
      <c r="AO157" s="152" t="s">
        <v>564</v>
      </c>
      <c r="AP157" s="152" t="s">
        <v>564</v>
      </c>
      <c r="AQ157" s="152" t="s">
        <v>564</v>
      </c>
      <c r="AR157" s="152" t="s">
        <v>564</v>
      </c>
      <c r="AS157" s="153" t="s">
        <v>3</v>
      </c>
      <c r="AT157" s="153" t="s">
        <v>3</v>
      </c>
      <c r="AU157" s="153" t="s">
        <v>3</v>
      </c>
      <c r="AV157" s="153" t="s">
        <v>3</v>
      </c>
      <c r="AW157" s="154" t="s">
        <v>3</v>
      </c>
      <c r="AX157" s="154" t="s">
        <v>3</v>
      </c>
      <c r="AY157" s="155" t="s">
        <v>3</v>
      </c>
      <c r="AZ157" s="155" t="s">
        <v>3</v>
      </c>
      <c r="BA157" s="156" t="s">
        <v>3</v>
      </c>
    </row>
    <row r="158" spans="1:53" x14ac:dyDescent="0.25">
      <c r="A158" s="38">
        <v>155</v>
      </c>
      <c r="B158" s="139" t="s">
        <v>48</v>
      </c>
      <c r="C158" s="38" t="s">
        <v>139</v>
      </c>
      <c r="D158" s="38" t="s">
        <v>267</v>
      </c>
      <c r="E158" s="48">
        <v>161.98665199999999</v>
      </c>
      <c r="F158" s="140" t="s">
        <v>564</v>
      </c>
      <c r="G158" s="140" t="s">
        <v>564</v>
      </c>
      <c r="H158" s="140" t="s">
        <v>564</v>
      </c>
      <c r="I158" s="160">
        <v>2.9590000000000001</v>
      </c>
      <c r="J158" s="142">
        <v>2.9590000000000001</v>
      </c>
      <c r="K158" s="143" t="s">
        <v>3</v>
      </c>
      <c r="L158" s="145" t="s">
        <v>3</v>
      </c>
      <c r="M158" s="145">
        <v>1.8740000000000001</v>
      </c>
      <c r="N158" s="145">
        <v>1.875</v>
      </c>
      <c r="O158" s="145">
        <v>1.869</v>
      </c>
      <c r="P158" s="145">
        <v>1.869</v>
      </c>
      <c r="Q158" s="145">
        <v>1.8720000000000001</v>
      </c>
      <c r="R158" s="145">
        <v>1.8779999999999999</v>
      </c>
      <c r="S158" s="145">
        <v>1.825</v>
      </c>
      <c r="T158" s="145">
        <v>1.8220000000000001</v>
      </c>
      <c r="U158" s="145">
        <v>1.87</v>
      </c>
      <c r="V158" s="145">
        <v>1.8720000000000001</v>
      </c>
      <c r="W158" s="146" t="s">
        <v>564</v>
      </c>
      <c r="X158" s="146" t="s">
        <v>564</v>
      </c>
      <c r="Y158" s="146" t="s">
        <v>564</v>
      </c>
      <c r="Z158" s="158">
        <v>1.677</v>
      </c>
      <c r="AA158" s="163">
        <v>1.4430000000000001</v>
      </c>
      <c r="AB158" s="163" t="s">
        <v>3</v>
      </c>
      <c r="AC158" s="159">
        <v>1.4119999999999999</v>
      </c>
      <c r="AD158" s="159" t="s">
        <v>3</v>
      </c>
      <c r="AE158" s="150">
        <v>1.994</v>
      </c>
      <c r="AF158" s="150">
        <v>2.044</v>
      </c>
      <c r="AG158" s="150" t="s">
        <v>3</v>
      </c>
      <c r="AH158" s="150" t="s">
        <v>3</v>
      </c>
      <c r="AI158" s="151">
        <v>1.4451000000000001</v>
      </c>
      <c r="AJ158" s="151" t="s">
        <v>564</v>
      </c>
      <c r="AK158" s="161">
        <v>1.42418333333333</v>
      </c>
      <c r="AL158" s="161">
        <v>1.6099666666666701</v>
      </c>
      <c r="AM158" s="151" t="s">
        <v>564</v>
      </c>
      <c r="AN158" s="152" t="s">
        <v>564</v>
      </c>
      <c r="AO158" s="152" t="s">
        <v>564</v>
      </c>
      <c r="AP158" s="152" t="s">
        <v>564</v>
      </c>
      <c r="AQ158" s="152" t="s">
        <v>564</v>
      </c>
      <c r="AR158" s="152" t="s">
        <v>564</v>
      </c>
      <c r="AS158" s="153">
        <v>9.4610000000000003</v>
      </c>
      <c r="AT158" s="153">
        <v>9.2080000000000002</v>
      </c>
      <c r="AU158" s="153">
        <v>9.7100000000000009</v>
      </c>
      <c r="AV158" s="153">
        <v>10.656000000000001</v>
      </c>
      <c r="AW158" s="154">
        <v>0.88029000000000002</v>
      </c>
      <c r="AX158" s="154" t="s">
        <v>3</v>
      </c>
      <c r="AY158" s="155" t="s">
        <v>3</v>
      </c>
      <c r="AZ158" s="155" t="s">
        <v>3</v>
      </c>
      <c r="BA158" s="156" t="s">
        <v>3</v>
      </c>
    </row>
    <row r="159" spans="1:53" x14ac:dyDescent="0.25">
      <c r="A159" s="38">
        <v>156</v>
      </c>
      <c r="B159" s="139" t="s">
        <v>50</v>
      </c>
      <c r="C159" s="38" t="s">
        <v>139</v>
      </c>
      <c r="D159" s="38" t="s">
        <v>268</v>
      </c>
      <c r="E159" s="48">
        <v>395.007274</v>
      </c>
      <c r="F159" s="140" t="s">
        <v>564</v>
      </c>
      <c r="G159" s="140" t="s">
        <v>564</v>
      </c>
      <c r="H159" s="140" t="s">
        <v>564</v>
      </c>
      <c r="I159" s="160" t="s">
        <v>3</v>
      </c>
      <c r="J159" s="160" t="s">
        <v>3</v>
      </c>
      <c r="K159" s="164">
        <v>17.029</v>
      </c>
      <c r="L159" s="145" t="s">
        <v>3</v>
      </c>
      <c r="M159" s="145">
        <v>4.5339999999999998</v>
      </c>
      <c r="N159" s="145">
        <v>4.54</v>
      </c>
      <c r="O159" s="145">
        <v>4.58</v>
      </c>
      <c r="P159" s="145">
        <v>4.524</v>
      </c>
      <c r="Q159" s="145">
        <v>4.5289999999999999</v>
      </c>
      <c r="R159" s="145">
        <v>4.4889999999999999</v>
      </c>
      <c r="S159" s="145">
        <v>4.5350000000000001</v>
      </c>
      <c r="T159" s="145">
        <v>4.5810000000000004</v>
      </c>
      <c r="U159" s="145">
        <v>4.5739999999999998</v>
      </c>
      <c r="V159" s="145">
        <v>4.5410000000000004</v>
      </c>
      <c r="W159" s="146" t="s">
        <v>564</v>
      </c>
      <c r="X159" s="146" t="s">
        <v>564</v>
      </c>
      <c r="Y159" s="146" t="s">
        <v>564</v>
      </c>
      <c r="Z159" s="158">
        <v>4.6310000000000002</v>
      </c>
      <c r="AA159" s="163">
        <v>4.7489999999999997</v>
      </c>
      <c r="AB159" s="163" t="s">
        <v>3</v>
      </c>
      <c r="AC159" s="159">
        <v>4.49</v>
      </c>
      <c r="AD159" s="159" t="s">
        <v>3</v>
      </c>
      <c r="AE159" s="150">
        <v>4.5090000000000003</v>
      </c>
      <c r="AF159" s="150">
        <v>4.476</v>
      </c>
      <c r="AG159" s="150" t="s">
        <v>3</v>
      </c>
      <c r="AH159" s="150" t="s">
        <v>3</v>
      </c>
      <c r="AI159" s="151">
        <v>4.3956666666666697</v>
      </c>
      <c r="AJ159" s="151" t="s">
        <v>564</v>
      </c>
      <c r="AK159" s="161">
        <v>4.3957499999999996</v>
      </c>
      <c r="AL159" s="161">
        <v>4.3624833333333299</v>
      </c>
      <c r="AM159" s="151" t="s">
        <v>564</v>
      </c>
      <c r="AN159" s="152" t="s">
        <v>564</v>
      </c>
      <c r="AO159" s="152" t="s">
        <v>564</v>
      </c>
      <c r="AP159" s="152" t="s">
        <v>564</v>
      </c>
      <c r="AQ159" s="152" t="s">
        <v>564</v>
      </c>
      <c r="AR159" s="152" t="s">
        <v>564</v>
      </c>
      <c r="AS159" s="153" t="s">
        <v>3</v>
      </c>
      <c r="AT159" s="153" t="s">
        <v>3</v>
      </c>
      <c r="AU159" s="153" t="s">
        <v>3</v>
      </c>
      <c r="AV159" s="153" t="s">
        <v>3</v>
      </c>
      <c r="AW159" s="154" t="s">
        <v>3</v>
      </c>
      <c r="AX159" s="154" t="s">
        <v>3</v>
      </c>
      <c r="AY159" s="155" t="s">
        <v>3</v>
      </c>
      <c r="AZ159" s="155">
        <v>3.7028300000000001</v>
      </c>
      <c r="BA159" s="156">
        <v>3.59382</v>
      </c>
    </row>
    <row r="160" spans="1:53" x14ac:dyDescent="0.25">
      <c r="G160" s="140" t="s">
        <v>564</v>
      </c>
      <c r="H160" s="140" t="s">
        <v>564</v>
      </c>
      <c r="I160" s="160" t="s">
        <v>564</v>
      </c>
      <c r="J160" s="160" t="s">
        <v>564</v>
      </c>
      <c r="K160" s="143" t="s">
        <v>564</v>
      </c>
      <c r="L160" s="145" t="s">
        <v>564</v>
      </c>
      <c r="M160" s="145" t="s">
        <v>564</v>
      </c>
      <c r="N160" s="145" t="s">
        <v>564</v>
      </c>
      <c r="O160" s="145" t="s">
        <v>564</v>
      </c>
      <c r="P160" s="145" t="s">
        <v>564</v>
      </c>
      <c r="Q160" s="145" t="s">
        <v>564</v>
      </c>
      <c r="R160" s="145" t="s">
        <v>564</v>
      </c>
      <c r="S160" s="145" t="s">
        <v>564</v>
      </c>
      <c r="T160" s="145" t="s">
        <v>564</v>
      </c>
      <c r="U160" s="145" t="s">
        <v>564</v>
      </c>
      <c r="V160" s="145" t="s">
        <v>564</v>
      </c>
      <c r="W160" s="146" t="s">
        <v>564</v>
      </c>
      <c r="X160" s="146" t="s">
        <v>564</v>
      </c>
      <c r="Y160" s="146" t="s">
        <v>564</v>
      </c>
      <c r="Z160" s="158" t="s">
        <v>564</v>
      </c>
      <c r="AA160" s="163" t="s">
        <v>564</v>
      </c>
      <c r="AB160" s="163" t="s">
        <v>564</v>
      </c>
      <c r="AC160" s="159" t="s">
        <v>564</v>
      </c>
      <c r="AD160" s="159" t="s">
        <v>564</v>
      </c>
      <c r="AE160" s="150" t="s">
        <v>564</v>
      </c>
      <c r="AF160" s="150" t="s">
        <v>564</v>
      </c>
      <c r="AG160" s="150" t="s">
        <v>564</v>
      </c>
      <c r="AH160" s="150" t="s">
        <v>564</v>
      </c>
      <c r="AI160" s="151" t="s">
        <v>564</v>
      </c>
      <c r="AJ160" s="151" t="s">
        <v>564</v>
      </c>
      <c r="AK160" s="151" t="s">
        <v>564</v>
      </c>
      <c r="AL160" s="151" t="s">
        <v>564</v>
      </c>
      <c r="AM160" s="151" t="s">
        <v>564</v>
      </c>
      <c r="AN160" s="152" t="s">
        <v>564</v>
      </c>
      <c r="AO160" s="152" t="s">
        <v>564</v>
      </c>
      <c r="AP160" s="152" t="s">
        <v>564</v>
      </c>
      <c r="AQ160" s="152" t="s">
        <v>564</v>
      </c>
      <c r="AR160" s="152" t="s">
        <v>564</v>
      </c>
      <c r="AS160" s="153" t="s">
        <v>564</v>
      </c>
      <c r="AT160" s="153" t="s">
        <v>564</v>
      </c>
      <c r="AU160" s="153" t="s">
        <v>564</v>
      </c>
      <c r="AV160" s="153" t="s">
        <v>564</v>
      </c>
      <c r="AW160" s="154" t="s">
        <v>564</v>
      </c>
      <c r="AX160" s="154" t="s">
        <v>564</v>
      </c>
      <c r="AY160" s="155" t="s">
        <v>564</v>
      </c>
      <c r="AZ160" s="155" t="s">
        <v>564</v>
      </c>
      <c r="BA160" s="156" t="s">
        <v>564</v>
      </c>
    </row>
  </sheetData>
  <sortState xmlns:xlrd2="http://schemas.microsoft.com/office/spreadsheetml/2017/richdata2" ref="A4:BA165">
    <sortCondition ref="A1"/>
  </sortState>
  <conditionalFormatting sqref="L147:V147 Z147">
    <cfRule type="cellIs" dxfId="58" priority="9" operator="greaterThan">
      <formula>5</formula>
    </cfRule>
  </conditionalFormatting>
  <conditionalFormatting sqref="L3:V3 Z3">
    <cfRule type="cellIs" dxfId="57" priority="8" operator="greaterThan">
      <formula>5</formula>
    </cfRule>
  </conditionalFormatting>
  <conditionalFormatting sqref="L2:V2 Z2">
    <cfRule type="cellIs" dxfId="56" priority="7" operator="greaterThan">
      <formula>5</formula>
    </cfRule>
  </conditionalFormatting>
  <conditionalFormatting sqref="L157:V157 Z157">
    <cfRule type="cellIs" dxfId="55" priority="6" operator="greaterThan">
      <formula>5</formula>
    </cfRule>
  </conditionalFormatting>
  <conditionalFormatting sqref="L156:V156 Z156">
    <cfRule type="cellIs" dxfId="54" priority="5" operator="greaterThan">
      <formula>5</formula>
    </cfRule>
  </conditionalFormatting>
  <conditionalFormatting sqref="L150:V150 Z150">
    <cfRule type="cellIs" dxfId="53" priority="4" operator="greaterThan">
      <formula>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a i K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Z a i K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W o i k s o i k e 4 D g A A A B E A A A A T A B w A R m 9 y b X V s Y X M v U 2 V j d G l v b j E u b S C i G A A o o B Q A A A A A A A A A A A A A A A A A A A A A A A A A A A A r T k 0 u y c z P U w i G 0 I b W A F B L A Q I t A B Q A A g A I A G W o i k u A L f d N p w A A A P g A A A A S A A A A A A A A A A A A A A A A A A A A A A B D b 2 5 m a W c v U G F j a 2 F n Z S 5 4 b W x Q S w E C L Q A U A A I A C A B l q I p L D 8 r p q 6 Q A A A D p A A A A E w A A A A A A A A A A A A A A A A D z A A A A W 0 N v b n R l b n R f V H l w Z X N d L n h t b F B L A Q I t A B Q A A g A I A G W o i k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4 1 z 1 y r o R g T o s E v a g j S J I B A A A A A A I A A A A A A B B m A A A A A Q A A I A A A A L x v 8 F a E J 8 K W / V c l s d 7 V U V Y A d R M d p d T d h B l D 8 D X e o 1 b 8 A A A A A A 6 A A A A A A g A A I A A A A E t N w y X 5 i C X 5 + M 9 M 0 7 h t d 3 6 Q x s 0 Z g 7 2 S l F c D x M R Q R 8 l t U A A A A G / B 3 R / 1 P t c I b K T q 3 9 O B v p u / K + 7 U Q v I O F e f u y f V e J i g 6 T / 1 d N 9 A l 7 l b R k y C d V J w i P o Z V s T u x o q l w y 2 B p h 2 s v A k E s d L T I A x T R C a q h H C J O m A e i Q A A A A I A u f z P 1 Y i H J X O x I G B n 1 d o e k B 0 l T / 4 X M J Z R d S T e h 2 x j 4 u z C i V 7 W H U z 0 m F i 2 n T z + H 5 Y n Q N 8 R L p k G U F E S J 5 j A q f T o = < / D a t a M a s h u p > 
</file>

<file path=customXml/itemProps1.xml><?xml version="1.0" encoding="utf-8"?>
<ds:datastoreItem xmlns:ds="http://schemas.openxmlformats.org/officeDocument/2006/customXml" ds:itemID="{836B4B82-4FA5-4CCA-95AC-605603A7E4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Sample Information</vt:lpstr>
      <vt:lpstr>NormaNEWS compounds</vt:lpstr>
      <vt:lpstr>Max. Absolute Intensity_counts</vt:lpstr>
      <vt:lpstr>QC_mass accuracy_Da</vt:lpstr>
      <vt:lpstr>QC_mass accuracy_ppm</vt:lpstr>
      <vt:lpstr>QC_observed_ret.time_Minutes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Nikiforos Alygizakis</dc:creator>
  <cp:lastModifiedBy>Marie Ormset</cp:lastModifiedBy>
  <dcterms:created xsi:type="dcterms:W3CDTF">2016-04-22T12:41:37Z</dcterms:created>
  <dcterms:modified xsi:type="dcterms:W3CDTF">2019-06-03T08:27:11Z</dcterms:modified>
</cp:coreProperties>
</file>